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ltrujillog_eep_com_co/Documents/LUZ ADRIANA/Garantías/2022/MARZO/"/>
    </mc:Choice>
  </mc:AlternateContent>
  <xr:revisionPtr revIDLastSave="21" documentId="8_{E4D8644A-EDD4-4EF0-B446-50447097B2DF}" xr6:coauthVersionLast="47" xr6:coauthVersionMax="47" xr10:uidLastSave="{271EE9CD-73A0-424F-8FEF-DB167FAE1B7C}"/>
  <bookViews>
    <workbookView xWindow="-108" yWindow="-108" windowWidth="23256" windowHeight="12720" xr2:uid="{00000000-000D-0000-FFFF-FFFF00000000}"/>
  </bookViews>
  <sheets>
    <sheet name="ssdp" sheetId="12" r:id="rId1"/>
    <sheet name="davivienda (2)" sheetId="16" r:id="rId2"/>
    <sheet name="Hoja7" sheetId="11" state="hidden" r:id="rId3"/>
    <sheet name="Banco" sheetId="10" state="hidden" r:id="rId4"/>
    <sheet name="Hoja5" sheetId="9" state="hidden" r:id="rId5"/>
    <sheet name="Hoja6" sheetId="7" state="hidden" r:id="rId6"/>
    <sheet name="Hoja1" sheetId="1" state="hidden" r:id="rId7"/>
    <sheet name="Hoja2" sheetId="2" state="hidden" r:id="rId8"/>
    <sheet name="Hoja1 (2)" sheetId="3" state="hidden" r:id="rId9"/>
    <sheet name="Hoja3" sheetId="4" state="hidden" r:id="rId10"/>
    <sheet name="Hoja4" sheetId="5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6" l="1"/>
  <c r="O11" i="16"/>
  <c r="N11" i="16"/>
  <c r="L11" i="16"/>
  <c r="L10" i="12"/>
  <c r="M10" i="12" s="1"/>
  <c r="R12" i="12"/>
  <c r="N10" i="12" l="1"/>
  <c r="P10" i="12" s="1"/>
  <c r="S10" i="12" s="1"/>
  <c r="O10" i="12"/>
  <c r="R16" i="12"/>
  <c r="L8" i="12" l="1"/>
  <c r="M8" i="12" s="1"/>
  <c r="I12" i="12"/>
  <c r="O8" i="12" l="1"/>
  <c r="N8" i="12"/>
  <c r="L9" i="12"/>
  <c r="L11" i="12"/>
  <c r="P8" i="12" l="1"/>
  <c r="S8" i="12" s="1"/>
  <c r="N11" i="12"/>
  <c r="O11" i="12"/>
  <c r="P11" i="12" l="1"/>
  <c r="S11" i="12" s="1"/>
  <c r="N9" i="12"/>
  <c r="O9" i="12" l="1"/>
  <c r="P9" i="12" s="1"/>
  <c r="S9" i="12" s="1"/>
  <c r="M12" i="12" l="1"/>
  <c r="K19" i="16"/>
  <c r="O12" i="12" l="1"/>
  <c r="N12" i="12" l="1"/>
  <c r="Q12" i="12"/>
  <c r="P12" i="12" l="1"/>
  <c r="J20" i="12" s="1"/>
  <c r="J15" i="11"/>
  <c r="H17" i="11"/>
  <c r="I15" i="11"/>
  <c r="I17" i="11" s="1"/>
  <c r="K15" i="11"/>
  <c r="K17" i="11" s="1"/>
  <c r="H15" i="11"/>
  <c r="M11" i="10" l="1"/>
  <c r="M23" i="10" l="1"/>
  <c r="N23" i="10" s="1"/>
  <c r="J24" i="10"/>
  <c r="R24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P15" i="10"/>
  <c r="O15" i="10"/>
  <c r="M15" i="10"/>
  <c r="P14" i="10"/>
  <c r="O14" i="10"/>
  <c r="M14" i="10"/>
  <c r="P13" i="10"/>
  <c r="O13" i="10"/>
  <c r="M13" i="10"/>
  <c r="P10" i="10"/>
  <c r="O10" i="10"/>
  <c r="M10" i="10"/>
  <c r="P9" i="10"/>
  <c r="O9" i="10"/>
  <c r="M9" i="10"/>
  <c r="M8" i="10"/>
  <c r="N8" i="10" s="1"/>
  <c r="Q13" i="10" l="1"/>
  <c r="Q17" i="10"/>
  <c r="Q21" i="10"/>
  <c r="Q10" i="10"/>
  <c r="Q16" i="10"/>
  <c r="Q20" i="10"/>
  <c r="Q9" i="10"/>
  <c r="Q15" i="10"/>
  <c r="Q19" i="10"/>
  <c r="Q14" i="10"/>
  <c r="Q18" i="10"/>
  <c r="Q22" i="10"/>
  <c r="O23" i="10"/>
  <c r="P23" i="10"/>
  <c r="N24" i="10"/>
  <c r="P8" i="10"/>
  <c r="O8" i="10"/>
  <c r="Q23" i="10" l="1"/>
  <c r="O24" i="10"/>
  <c r="P24" i="10"/>
  <c r="Q8" i="10"/>
  <c r="Q24" i="10" l="1"/>
  <c r="K31" i="10" s="1"/>
  <c r="E12" i="9" l="1"/>
  <c r="J12" i="7" l="1"/>
  <c r="K12" i="7"/>
  <c r="L12" i="7"/>
  <c r="I12" i="7"/>
  <c r="M18" i="1" l="1"/>
  <c r="N18" i="1" s="1"/>
  <c r="M17" i="1"/>
  <c r="N17" i="1" s="1"/>
  <c r="O17" i="1" l="1"/>
  <c r="P17" i="1"/>
  <c r="R19" i="1"/>
  <c r="Q17" i="1" l="1"/>
  <c r="M9" i="1"/>
  <c r="N9" i="1" s="1"/>
  <c r="O9" i="1" s="1"/>
  <c r="P9" i="1" l="1"/>
  <c r="Q9" i="1" s="1"/>
  <c r="M11" i="1"/>
  <c r="N11" i="1" s="1"/>
  <c r="P11" i="1" l="1"/>
  <c r="O11" i="1"/>
  <c r="J19" i="1"/>
  <c r="Q11" i="1" l="1"/>
  <c r="M8" i="1"/>
  <c r="N8" i="1" l="1"/>
  <c r="O8" i="1" l="1"/>
  <c r="P8" i="1"/>
  <c r="Q8" i="1" l="1"/>
  <c r="M12" i="1" l="1"/>
  <c r="N12" i="1" s="1"/>
  <c r="M13" i="1"/>
  <c r="N13" i="1" s="1"/>
  <c r="M14" i="1"/>
  <c r="N14" i="1" s="1"/>
  <c r="M15" i="1"/>
  <c r="N15" i="1" s="1"/>
  <c r="M10" i="1"/>
  <c r="N10" i="1" s="1"/>
  <c r="M16" i="1"/>
  <c r="N16" i="1" s="1"/>
  <c r="P13" i="1" l="1"/>
  <c r="P10" i="1"/>
  <c r="O10" i="1"/>
  <c r="P12" i="1"/>
  <c r="O12" i="1"/>
  <c r="O15" i="1"/>
  <c r="P15" i="1"/>
  <c r="O14" i="1"/>
  <c r="P14" i="1"/>
  <c r="P16" i="1"/>
  <c r="O16" i="1"/>
  <c r="O13" i="1"/>
  <c r="P18" i="1"/>
  <c r="O18" i="1"/>
  <c r="N19" i="1"/>
  <c r="Q13" i="1" l="1"/>
  <c r="Q10" i="1"/>
  <c r="Q18" i="1"/>
  <c r="Q16" i="1"/>
  <c r="Q15" i="1"/>
  <c r="Q14" i="1"/>
  <c r="Q12" i="1"/>
  <c r="O19" i="1"/>
  <c r="P19" i="1"/>
  <c r="C22" i="3"/>
  <c r="Q19" i="1" l="1"/>
  <c r="O11" i="3"/>
  <c r="P11" i="3" s="1"/>
  <c r="R11" i="3" s="1"/>
  <c r="O10" i="3"/>
  <c r="P10" i="3" s="1"/>
  <c r="R10" i="3" s="1"/>
  <c r="O8" i="3"/>
  <c r="P8" i="3" s="1"/>
  <c r="R8" i="3" s="1"/>
  <c r="J11" i="3"/>
  <c r="K11" i="3" s="1"/>
  <c r="J10" i="3"/>
  <c r="K10" i="3" s="1"/>
  <c r="J9" i="3"/>
  <c r="K9" i="3" s="1"/>
  <c r="O9" i="3" s="1"/>
  <c r="J8" i="3"/>
  <c r="K8" i="3" s="1"/>
  <c r="L8" i="3" s="1"/>
  <c r="I11" i="3"/>
  <c r="I10" i="3"/>
  <c r="I9" i="3"/>
  <c r="I8" i="3"/>
  <c r="N9" i="3" l="1"/>
  <c r="P9" i="3" s="1"/>
  <c r="R9" i="3" s="1"/>
  <c r="L9" i="3"/>
  <c r="L10" i="3"/>
  <c r="L11" i="3"/>
  <c r="K26" i="1" l="1"/>
</calcChain>
</file>

<file path=xl/sharedStrings.xml><?xml version="1.0" encoding="utf-8"?>
<sst xmlns="http://schemas.openxmlformats.org/spreadsheetml/2006/main" count="432" uniqueCount="145">
  <si>
    <t>No. GARANTÍA</t>
  </si>
  <si>
    <t>CONCEPTO</t>
  </si>
  <si>
    <t>A FAVOR DE</t>
  </si>
  <si>
    <t>VALOR A GARANTIZAR</t>
  </si>
  <si>
    <t>Fecha de Emisión</t>
  </si>
  <si>
    <t>Fecha Vencimiento</t>
  </si>
  <si>
    <t>DIAS</t>
  </si>
  <si>
    <t xml:space="preserve">COMISIÓN </t>
  </si>
  <si>
    <t>IVA</t>
  </si>
  <si>
    <t xml:space="preserve">IMP TIMBRE </t>
  </si>
  <si>
    <t>TOTAL A PAGAR</t>
  </si>
  <si>
    <t>TRANSACCIONES EN ASIC</t>
  </si>
  <si>
    <t>XM</t>
  </si>
  <si>
    <t>USO DEL STR</t>
  </si>
  <si>
    <t>USO DEL SDL</t>
  </si>
  <si>
    <t>CHEC</t>
  </si>
  <si>
    <t>Comisión</t>
  </si>
  <si>
    <t>Dias Base</t>
  </si>
  <si>
    <t>Impuesto de Timbre</t>
  </si>
  <si>
    <t>07012127200217877</t>
  </si>
  <si>
    <t>EMCARTAGO</t>
  </si>
  <si>
    <t>07012127200217752</t>
  </si>
  <si>
    <t>07012127200217778</t>
  </si>
  <si>
    <t>07012127200217760</t>
  </si>
  <si>
    <t>07012127200216192</t>
  </si>
  <si>
    <t>AJUSTE TRANSACCIONES EN ASIC</t>
  </si>
  <si>
    <t>07012127200216200</t>
  </si>
  <si>
    <t>TOTAL COMISION</t>
  </si>
  <si>
    <t>10090002128</t>
  </si>
  <si>
    <t>Banco</t>
  </si>
  <si>
    <t>BANCOLOMBIA</t>
  </si>
  <si>
    <t>10090002125</t>
  </si>
  <si>
    <t>10090002129</t>
  </si>
  <si>
    <t>comision real</t>
  </si>
  <si>
    <t>Costo de Garantías Abril-17</t>
  </si>
  <si>
    <t>total EEP</t>
  </si>
  <si>
    <t>DIFERENCIA</t>
  </si>
  <si>
    <t>COMISION</t>
  </si>
  <si>
    <t>Líder de Tesorería</t>
  </si>
  <si>
    <t>Auxiliar Administrativo Tarifas</t>
  </si>
  <si>
    <t>Elaboró</t>
  </si>
  <si>
    <t>Revisó</t>
  </si>
  <si>
    <t>Gerente Adminstrativo y Financiero</t>
  </si>
  <si>
    <t>Aprobó</t>
  </si>
  <si>
    <t>TOTAL</t>
  </si>
  <si>
    <t>07012127200226662</t>
  </si>
  <si>
    <t>07012127200226670</t>
  </si>
  <si>
    <t>07012127200116654</t>
  </si>
  <si>
    <t>07012127200226647</t>
  </si>
  <si>
    <t>07012127200226639</t>
  </si>
  <si>
    <t>07012127200227330</t>
  </si>
  <si>
    <t>BANCO</t>
  </si>
  <si>
    <t>DAVIVIENDA</t>
  </si>
  <si>
    <t>STN</t>
  </si>
  <si>
    <t>VR TOTAL</t>
  </si>
  <si>
    <t>Fecha Emisión</t>
  </si>
  <si>
    <t>Gerente Comercial</t>
  </si>
  <si>
    <t>SDL</t>
  </si>
  <si>
    <t>EDEQ</t>
  </si>
  <si>
    <t>CEDENAR</t>
  </si>
  <si>
    <t>STR</t>
  </si>
  <si>
    <t>XM S.A.  E.S.P</t>
  </si>
  <si>
    <t>CODENSA</t>
  </si>
  <si>
    <t>MES A RECUPERAR</t>
  </si>
  <si>
    <t xml:space="preserve">NIT BENEFICIARIO </t>
  </si>
  <si>
    <t>DV BENEFICIARIO</t>
  </si>
  <si>
    <t>Tipo Garantía</t>
  </si>
  <si>
    <t>FEBRERO</t>
  </si>
  <si>
    <t xml:space="preserve"> Costo de Garantías  Enero-20</t>
  </si>
  <si>
    <t>Valor total de las Comisiones en Garantias Para el mes de Enero</t>
  </si>
  <si>
    <t>07012127200317842</t>
  </si>
  <si>
    <t>07012127200317834</t>
  </si>
  <si>
    <t>07012127200317826</t>
  </si>
  <si>
    <t>07012127200317800</t>
  </si>
  <si>
    <t>07012127200317818</t>
  </si>
  <si>
    <t>07012127200317792</t>
  </si>
  <si>
    <t>07012127200317867</t>
  </si>
  <si>
    <t>07012127200317859</t>
  </si>
  <si>
    <t>07012127200318279</t>
  </si>
  <si>
    <t xml:space="preserve">CELSIA COLOMBIA </t>
  </si>
  <si>
    <t>07012127200319186</t>
  </si>
  <si>
    <t>COSTO A RECUPERAR</t>
  </si>
  <si>
    <t>07012127200318469</t>
  </si>
  <si>
    <t>EPSA</t>
  </si>
  <si>
    <t xml:space="preserve">TIPO DE GARANTIA </t>
  </si>
  <si>
    <t>EMISOR</t>
  </si>
  <si>
    <t xml:space="preserve">NUMERO GARANTIA </t>
  </si>
  <si>
    <t>MES DE RECUPERACION</t>
  </si>
  <si>
    <t>FECHA INICI VIGENCIA</t>
  </si>
  <si>
    <t>FECHA FINALIZACION VIGENCIA</t>
  </si>
  <si>
    <t xml:space="preserve">VALOR TOTAL GARANTIA </t>
  </si>
  <si>
    <t xml:space="preserve">COSTO GARANTIA </t>
  </si>
  <si>
    <t>MARZO</t>
  </si>
  <si>
    <t>MEM: Mercado de Energía Mayorista</t>
  </si>
  <si>
    <t>STR: Sistema de Transmisión Regional</t>
  </si>
  <si>
    <t xml:space="preserve">SDL: Sistema de Distribución Local </t>
  </si>
  <si>
    <t>COMISION TOTAL</t>
  </si>
  <si>
    <t>MEM</t>
  </si>
  <si>
    <t>ok</t>
  </si>
  <si>
    <t>validacion banco</t>
  </si>
  <si>
    <t xml:space="preserve"> Costo de Garantías  Octubre-20</t>
  </si>
  <si>
    <t>07012127200350587</t>
  </si>
  <si>
    <t>07012127200349613</t>
  </si>
  <si>
    <t>07012127200350710</t>
  </si>
  <si>
    <t>07012127200350728</t>
  </si>
  <si>
    <t>07012127200350785</t>
  </si>
  <si>
    <t>AIR-E</t>
  </si>
  <si>
    <t>07012127200350736</t>
  </si>
  <si>
    <t>07012127200350744</t>
  </si>
  <si>
    <t>07012127200350751</t>
  </si>
  <si>
    <t>07012127200350769</t>
  </si>
  <si>
    <t>07012127200350777</t>
  </si>
  <si>
    <t>Valor total de las Comisiones en Garantias Para el mes de Octubre</t>
  </si>
  <si>
    <t>07012127200351395</t>
  </si>
  <si>
    <t>CARIBE SOL DE LA COSTA</t>
  </si>
  <si>
    <t>CONEXIÓN</t>
  </si>
  <si>
    <t>NA</t>
  </si>
  <si>
    <t>07012127200351387</t>
  </si>
  <si>
    <t>SUBASTA</t>
  </si>
  <si>
    <t>07012127200350041</t>
  </si>
  <si>
    <t>07012127200352559</t>
  </si>
  <si>
    <t>07012127200352542</t>
  </si>
  <si>
    <t>Tipo de Garantía</t>
  </si>
  <si>
    <t>NIT Beneficiario</t>
  </si>
  <si>
    <t>DV Beneficiario</t>
  </si>
  <si>
    <t>Número de garantía</t>
  </si>
  <si>
    <t>Mes de Recuperación</t>
  </si>
  <si>
    <t>Valor Total</t>
  </si>
  <si>
    <t>Costo</t>
  </si>
  <si>
    <t>Costo a recuperar</t>
  </si>
  <si>
    <t>XM S.A.  E.S.P</t>
  </si>
  <si>
    <t>SDL: Sistema de Distribución Local</t>
  </si>
  <si>
    <t>07013136200329540</t>
  </si>
  <si>
    <t>07012127200406082</t>
  </si>
  <si>
    <t>COLPATRIA</t>
  </si>
  <si>
    <t>07012127200438374</t>
  </si>
  <si>
    <t>OCCIDENTE</t>
  </si>
  <si>
    <t>07012127200446799</t>
  </si>
  <si>
    <t>07012127200446781</t>
  </si>
  <si>
    <t xml:space="preserve"> Costo de Garantías  Marzo 22</t>
  </si>
  <si>
    <t>Valor total de las Comisiones en Garantias Para el mes de marzo</t>
  </si>
  <si>
    <t>07012127200444588</t>
  </si>
  <si>
    <t>Columna1</t>
  </si>
  <si>
    <t xml:space="preserve"> Costo de Garantías  Marzo-21</t>
  </si>
  <si>
    <t>Valor total de las Comisiones en Garantias Para el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</si>
</sst>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0.0%"/>
    <numFmt numFmtId="170" formatCode="0.000%"/>
    <numFmt numFmtId="171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8">
    <xf numFmtId="0" fontId="0" fillId="0" borderId="0" xfId="0"/>
    <xf numFmtId="167" fontId="0" fillId="0" borderId="0" xfId="1" applyNumberFormat="1" applyFont="1"/>
    <xf numFmtId="0" fontId="5" fillId="0" borderId="0" xfId="0" applyFont="1" applyBorder="1"/>
    <xf numFmtId="0" fontId="0" fillId="2" borderId="1" xfId="0" applyFill="1" applyBorder="1"/>
    <xf numFmtId="10" fontId="5" fillId="2" borderId="2" xfId="0" applyNumberFormat="1" applyFont="1" applyFill="1" applyBorder="1"/>
    <xf numFmtId="0" fontId="0" fillId="2" borderId="3" xfId="0" applyFill="1" applyBorder="1"/>
    <xf numFmtId="0" fontId="5" fillId="2" borderId="4" xfId="0" applyFont="1" applyFill="1" applyBorder="1"/>
    <xf numFmtId="9" fontId="5" fillId="2" borderId="4" xfId="0" applyNumberFormat="1" applyFont="1" applyFill="1" applyBorder="1"/>
    <xf numFmtId="0" fontId="0" fillId="2" borderId="5" xfId="0" applyFill="1" applyBorder="1"/>
    <xf numFmtId="169" fontId="5" fillId="2" borderId="6" xfId="0" applyNumberFormat="1" applyFont="1" applyFill="1" applyBorder="1"/>
    <xf numFmtId="0" fontId="3" fillId="0" borderId="0" xfId="0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3" fillId="0" borderId="0" xfId="0" quotePrefix="1" applyFont="1"/>
    <xf numFmtId="14" fontId="3" fillId="0" borderId="0" xfId="2" applyNumberFormat="1" applyFont="1"/>
    <xf numFmtId="1" fontId="3" fillId="0" borderId="0" xfId="2" applyNumberFormat="1" applyFont="1"/>
    <xf numFmtId="167" fontId="3" fillId="0" borderId="0" xfId="1" applyNumberFormat="1" applyFont="1"/>
    <xf numFmtId="168" fontId="3" fillId="0" borderId="0" xfId="2" applyNumberFormat="1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2" applyFont="1"/>
    <xf numFmtId="167" fontId="7" fillId="0" borderId="0" xfId="1" applyNumberFormat="1" applyFont="1"/>
    <xf numFmtId="0" fontId="7" fillId="0" borderId="0" xfId="0" quotePrefix="1" applyFont="1"/>
    <xf numFmtId="0" fontId="8" fillId="0" borderId="7" xfId="0" applyFont="1" applyBorder="1" applyAlignment="1">
      <alignment horizontal="center"/>
    </xf>
    <xf numFmtId="167" fontId="8" fillId="0" borderId="7" xfId="1" applyNumberFormat="1" applyFont="1" applyBorder="1" applyAlignment="1">
      <alignment horizontal="center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165" fontId="2" fillId="3" borderId="8" xfId="2" applyNumberFormat="1" applyFont="1" applyFill="1" applyBorder="1"/>
    <xf numFmtId="1" fontId="2" fillId="3" borderId="8" xfId="2" applyNumberFormat="1" applyFont="1" applyFill="1" applyBorder="1"/>
    <xf numFmtId="167" fontId="2" fillId="3" borderId="8" xfId="1" applyNumberFormat="1" applyFont="1" applyFill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65" fontId="2" fillId="0" borderId="8" xfId="2" applyNumberFormat="1" applyFont="1" applyBorder="1"/>
    <xf numFmtId="1" fontId="2" fillId="0" borderId="8" xfId="2" applyNumberFormat="1" applyFont="1" applyBorder="1"/>
    <xf numFmtId="167" fontId="2" fillId="0" borderId="8" xfId="1" applyNumberFormat="1" applyFont="1" applyBorder="1"/>
    <xf numFmtId="168" fontId="2" fillId="3" borderId="8" xfId="2" applyNumberFormat="1" applyFont="1" applyFill="1" applyBorder="1"/>
    <xf numFmtId="168" fontId="2" fillId="0" borderId="8" xfId="2" applyNumberFormat="1" applyFont="1" applyBorder="1"/>
    <xf numFmtId="164" fontId="2" fillId="3" borderId="8" xfId="2" applyNumberFormat="1" applyFont="1" applyFill="1" applyBorder="1"/>
    <xf numFmtId="0" fontId="7" fillId="0" borderId="0" xfId="0" quotePrefix="1" applyFont="1" applyAlignment="1">
      <alignment horizontal="center"/>
    </xf>
    <xf numFmtId="1" fontId="7" fillId="0" borderId="0" xfId="2" applyNumberFormat="1" applyFont="1"/>
    <xf numFmtId="10" fontId="5" fillId="2" borderId="0" xfId="0" applyNumberFormat="1" applyFont="1" applyFill="1" applyBorder="1"/>
    <xf numFmtId="0" fontId="5" fillId="2" borderId="0" xfId="0" applyFont="1" applyFill="1" applyBorder="1"/>
    <xf numFmtId="9" fontId="5" fillId="2" borderId="0" xfId="0" applyNumberFormat="1" applyFont="1" applyFill="1" applyBorder="1"/>
    <xf numFmtId="169" fontId="5" fillId="2" borderId="0" xfId="0" applyNumberFormat="1" applyFont="1" applyFill="1" applyBorder="1"/>
    <xf numFmtId="168" fontId="7" fillId="0" borderId="0" xfId="2" applyNumberFormat="1" applyFont="1"/>
    <xf numFmtId="14" fontId="7" fillId="0" borderId="0" xfId="2" applyNumberFormat="1" applyFont="1"/>
    <xf numFmtId="166" fontId="0" fillId="0" borderId="0" xfId="1" applyFont="1"/>
    <xf numFmtId="0" fontId="0" fillId="0" borderId="0" xfId="0" applyAlignment="1">
      <alignment horizontal="center"/>
    </xf>
    <xf numFmtId="166" fontId="10" fillId="0" borderId="0" xfId="1" applyFont="1"/>
    <xf numFmtId="0" fontId="11" fillId="0" borderId="0" xfId="0" quotePrefix="1" applyFont="1"/>
    <xf numFmtId="0" fontId="11" fillId="0" borderId="0" xfId="0" applyFont="1" applyAlignment="1">
      <alignment horizontal="center"/>
    </xf>
    <xf numFmtId="1" fontId="11" fillId="0" borderId="0" xfId="2" applyNumberFormat="1" applyFont="1"/>
    <xf numFmtId="167" fontId="11" fillId="0" borderId="0" xfId="1" applyNumberFormat="1" applyFont="1"/>
    <xf numFmtId="14" fontId="11" fillId="0" borderId="0" xfId="2" applyNumberFormat="1" applyFont="1"/>
    <xf numFmtId="165" fontId="11" fillId="0" borderId="0" xfId="2" applyFont="1"/>
    <xf numFmtId="166" fontId="9" fillId="4" borderId="11" xfId="1" applyFont="1" applyFill="1" applyBorder="1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1" fontId="1" fillId="0" borderId="0" xfId="0" applyNumberFormat="1" applyFont="1"/>
    <xf numFmtId="167" fontId="1" fillId="0" borderId="0" xfId="0" applyNumberFormat="1" applyFont="1"/>
    <xf numFmtId="166" fontId="0" fillId="0" borderId="0" xfId="0" applyNumberFormat="1"/>
    <xf numFmtId="41" fontId="0" fillId="0" borderId="0" xfId="3" applyFont="1"/>
    <xf numFmtId="0" fontId="13" fillId="0" borderId="0" xfId="0" applyFont="1" applyAlignment="1">
      <alignment horizontal="center"/>
    </xf>
    <xf numFmtId="14" fontId="13" fillId="0" borderId="0" xfId="2" applyNumberFormat="1" applyFont="1"/>
    <xf numFmtId="0" fontId="14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2" fontId="12" fillId="0" borderId="0" xfId="4" applyFont="1"/>
    <xf numFmtId="165" fontId="13" fillId="0" borderId="0" xfId="2" applyFont="1"/>
    <xf numFmtId="1" fontId="13" fillId="0" borderId="0" xfId="2" applyNumberFormat="1" applyFont="1"/>
    <xf numFmtId="167" fontId="13" fillId="0" borderId="0" xfId="1" applyNumberFormat="1" applyFont="1"/>
    <xf numFmtId="0" fontId="15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" fontId="13" fillId="0" borderId="0" xfId="0" applyNumberFormat="1" applyFont="1"/>
    <xf numFmtId="167" fontId="13" fillId="0" borderId="0" xfId="0" applyNumberFormat="1" applyFont="1"/>
    <xf numFmtId="0" fontId="1" fillId="0" borderId="0" xfId="0" quotePrefix="1" applyFont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1" fillId="0" borderId="0" xfId="0" applyFont="1" applyAlignment="1">
      <alignment horizontal="center"/>
    </xf>
    <xf numFmtId="0" fontId="16" fillId="0" borderId="0" xfId="5"/>
    <xf numFmtId="0" fontId="18" fillId="5" borderId="0" xfId="0" applyFont="1" applyFill="1" applyAlignment="1">
      <alignment vertical="center" wrapText="1"/>
    </xf>
    <xf numFmtId="0" fontId="18" fillId="5" borderId="14" xfId="0" applyFont="1" applyFill="1" applyBorder="1" applyAlignment="1">
      <alignment vertical="center" wrapText="1"/>
    </xf>
    <xf numFmtId="0" fontId="18" fillId="5" borderId="15" xfId="0" applyFont="1" applyFill="1" applyBorder="1" applyAlignment="1">
      <alignment vertical="center" wrapText="1"/>
    </xf>
    <xf numFmtId="0" fontId="18" fillId="5" borderId="16" xfId="0" applyFont="1" applyFill="1" applyBorder="1" applyAlignment="1">
      <alignment vertical="center" wrapText="1"/>
    </xf>
    <xf numFmtId="0" fontId="18" fillId="5" borderId="17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3" fillId="0" borderId="0" xfId="0" quotePrefix="1" applyFont="1"/>
    <xf numFmtId="166" fontId="13" fillId="0" borderId="0" xfId="0" applyNumberFormat="1" applyFont="1"/>
    <xf numFmtId="14" fontId="0" fillId="0" borderId="0" xfId="0" applyNumberFormat="1"/>
    <xf numFmtId="44" fontId="0" fillId="0" borderId="0" xfId="0" applyNumberFormat="1"/>
    <xf numFmtId="44" fontId="19" fillId="6" borderId="0" xfId="0" applyNumberFormat="1" applyFont="1" applyFill="1"/>
    <xf numFmtId="0" fontId="20" fillId="7" borderId="11" xfId="0" applyFont="1" applyFill="1" applyBorder="1" applyAlignment="1">
      <alignment horizontal="right" vertical="center"/>
    </xf>
    <xf numFmtId="0" fontId="20" fillId="7" borderId="20" xfId="0" applyFont="1" applyFill="1" applyBorder="1" applyAlignment="1">
      <alignment horizontal="right" vertical="center"/>
    </xf>
    <xf numFmtId="166" fontId="20" fillId="7" borderId="19" xfId="1" applyFont="1" applyFill="1" applyBorder="1" applyAlignment="1">
      <alignment horizontal="right" vertical="center"/>
    </xf>
    <xf numFmtId="166" fontId="20" fillId="7" borderId="6" xfId="1" applyFont="1" applyFill="1" applyBorder="1" applyAlignment="1">
      <alignment horizontal="right" vertical="center"/>
    </xf>
    <xf numFmtId="0" fontId="21" fillId="7" borderId="0" xfId="0" applyFont="1" applyFill="1" applyAlignment="1">
      <alignment vertical="center" wrapText="1"/>
    </xf>
    <xf numFmtId="166" fontId="21" fillId="7" borderId="0" xfId="1" applyFont="1" applyFill="1" applyAlignment="1">
      <alignment vertical="center" wrapText="1"/>
    </xf>
    <xf numFmtId="166" fontId="1" fillId="0" borderId="0" xfId="0" applyNumberFormat="1" applyFont="1"/>
    <xf numFmtId="167" fontId="9" fillId="4" borderId="11" xfId="1" applyNumberFormat="1" applyFont="1" applyFill="1" applyBorder="1"/>
    <xf numFmtId="167" fontId="22" fillId="0" borderId="0" xfId="1" applyNumberFormat="1" applyFont="1"/>
    <xf numFmtId="0" fontId="23" fillId="0" borderId="0" xfId="0" applyFont="1" applyAlignment="1">
      <alignment horizontal="center"/>
    </xf>
    <xf numFmtId="43" fontId="0" fillId="0" borderId="0" xfId="0" applyNumberFormat="1"/>
    <xf numFmtId="167" fontId="0" fillId="0" borderId="0" xfId="0" applyNumberFormat="1"/>
    <xf numFmtId="165" fontId="1" fillId="0" borderId="0" xfId="2" applyFont="1"/>
    <xf numFmtId="14" fontId="1" fillId="0" borderId="0" xfId="2" applyNumberFormat="1" applyFont="1"/>
    <xf numFmtId="1" fontId="1" fillId="0" borderId="0" xfId="2" applyNumberFormat="1" applyFont="1"/>
    <xf numFmtId="167" fontId="1" fillId="0" borderId="0" xfId="1" applyNumberFormat="1" applyFont="1"/>
    <xf numFmtId="166" fontId="24" fillId="0" borderId="0" xfId="1" applyFont="1"/>
    <xf numFmtId="0" fontId="9" fillId="0" borderId="0" xfId="0" applyFont="1" applyBorder="1" applyAlignment="1">
      <alignment horizontal="center"/>
    </xf>
    <xf numFmtId="0" fontId="26" fillId="0" borderId="11" xfId="0" applyFont="1" applyBorder="1" applyAlignment="1">
      <alignment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166" fontId="20" fillId="0" borderId="6" xfId="1" applyFont="1" applyBorder="1" applyAlignment="1">
      <alignment horizontal="center" vertical="center"/>
    </xf>
    <xf numFmtId="166" fontId="25" fillId="0" borderId="6" xfId="1" applyFont="1" applyBorder="1" applyAlignment="1">
      <alignment horizontal="center" vertical="center"/>
    </xf>
    <xf numFmtId="165" fontId="13" fillId="0" borderId="0" xfId="2" applyFont="1" applyFill="1"/>
    <xf numFmtId="0" fontId="9" fillId="0" borderId="0" xfId="0" applyFont="1" applyBorder="1" applyAlignment="1">
      <alignment horizontal="center"/>
    </xf>
    <xf numFmtId="49" fontId="1" fillId="0" borderId="0" xfId="0" quotePrefix="1" applyNumberFormat="1" applyFont="1"/>
    <xf numFmtId="0" fontId="27" fillId="0" borderId="0" xfId="0" applyFont="1"/>
    <xf numFmtId="14" fontId="0" fillId="0" borderId="0" xfId="1" applyNumberFormat="1" applyFont="1"/>
    <xf numFmtId="167" fontId="22" fillId="0" borderId="0" xfId="1" applyNumberFormat="1" applyFont="1" applyAlignment="1">
      <alignment horizontal="center"/>
    </xf>
    <xf numFmtId="1" fontId="28" fillId="0" borderId="0" xfId="2" applyNumberFormat="1" applyFont="1"/>
    <xf numFmtId="0" fontId="9" fillId="0" borderId="0" xfId="0" applyFont="1" applyBorder="1" applyAlignment="1">
      <alignment horizontal="center"/>
    </xf>
    <xf numFmtId="14" fontId="28" fillId="0" borderId="0" xfId="2" applyNumberFormat="1" applyFont="1"/>
    <xf numFmtId="0" fontId="28" fillId="0" borderId="0" xfId="0" applyFont="1" applyAlignment="1">
      <alignment horizontal="center"/>
    </xf>
    <xf numFmtId="168" fontId="28" fillId="0" borderId="0" xfId="2" applyNumberFormat="1" applyFont="1" applyFill="1"/>
    <xf numFmtId="0" fontId="29" fillId="0" borderId="0" xfId="0" applyFont="1" applyAlignment="1">
      <alignment horizontal="center"/>
    </xf>
    <xf numFmtId="168" fontId="29" fillId="0" borderId="0" xfId="2" applyNumberFormat="1" applyFont="1" applyFill="1"/>
    <xf numFmtId="14" fontId="29" fillId="0" borderId="0" xfId="2" applyNumberFormat="1" applyFont="1"/>
    <xf numFmtId="1" fontId="29" fillId="0" borderId="0" xfId="2" applyNumberFormat="1" applyFont="1"/>
    <xf numFmtId="167" fontId="29" fillId="0" borderId="0" xfId="1" applyNumberFormat="1" applyFont="1"/>
    <xf numFmtId="168" fontId="9" fillId="0" borderId="0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67" fontId="31" fillId="0" borderId="0" xfId="1" applyNumberFormat="1" applyFont="1"/>
    <xf numFmtId="168" fontId="1" fillId="0" borderId="0" xfId="2" applyNumberFormat="1" applyFont="1" applyFill="1"/>
    <xf numFmtId="168" fontId="30" fillId="0" borderId="0" xfId="2" applyNumberFormat="1" applyFont="1" applyFill="1"/>
    <xf numFmtId="14" fontId="30" fillId="0" borderId="0" xfId="2" applyNumberFormat="1" applyFont="1"/>
    <xf numFmtId="1" fontId="30" fillId="0" borderId="0" xfId="2" applyNumberFormat="1" applyFont="1"/>
    <xf numFmtId="167" fontId="30" fillId="0" borderId="0" xfId="1" applyNumberFormat="1" applyFont="1"/>
    <xf numFmtId="167" fontId="31" fillId="0" borderId="0" xfId="1" applyNumberFormat="1" applyFont="1" applyAlignment="1">
      <alignment horizontal="center"/>
    </xf>
    <xf numFmtId="170" fontId="0" fillId="0" borderId="0" xfId="6" applyNumberFormat="1" applyFont="1"/>
    <xf numFmtId="171" fontId="31" fillId="0" borderId="0" xfId="1" applyNumberFormat="1" applyFont="1"/>
    <xf numFmtId="167" fontId="1" fillId="0" borderId="0" xfId="1" applyNumberFormat="1" applyFont="1" applyAlignment="1">
      <alignment horizontal="center"/>
    </xf>
    <xf numFmtId="168" fontId="0" fillId="0" borderId="0" xfId="0" applyNumberFormat="1"/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</cellXfs>
  <cellStyles count="7">
    <cellStyle name="Hipervínculo" xfId="5" builtinId="8"/>
    <cellStyle name="Millares" xfId="1" builtinId="3"/>
    <cellStyle name="Millares [0]" xfId="3" builtinId="6"/>
    <cellStyle name="Moneda" xfId="2" builtinId="4"/>
    <cellStyle name="Moneda [0]" xfId="4" builtinId="7"/>
    <cellStyle name="Normal" xfId="0" builtinId="0"/>
    <cellStyle name="Porcentaje" xfId="6" builtinId="5"/>
  </cellStyles>
  <dxfs count="1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_(&quot;$&quot;\ * #,##0_);_(&quot;$&quot;\ * \(#,##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1312333</xdr:colOff>
      <xdr:row>4</xdr:row>
      <xdr:rowOff>78829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2683933" cy="9837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3A74B1-8E80-42B3-A547-F20D3FE6825E}" name="Tabla157" displayName="Tabla157" ref="B7:S12" totalsRowCount="1" headerRowDxfId="188" dataDxfId="187" dataCellStyle="Millares">
  <tableColumns count="18">
    <tableColumn id="1" xr3:uid="{E6291D44-2F2A-460E-A928-C1D1DE5FA868}" name="No. GARANTÍA" totalsRowLabel="TOTAL" dataDxfId="186" totalsRowDxfId="185"/>
    <tableColumn id="14" xr3:uid="{A508ECCE-349E-446C-A0B1-93CD4CAACD87}" name="Tipo Garantía" dataDxfId="184" totalsRowDxfId="183"/>
    <tableColumn id="3" xr3:uid="{1F31D1C9-81E6-416E-B116-95CDB8A6873F}" name="A FAVOR DE" dataDxfId="182" totalsRowDxfId="181"/>
    <tableColumn id="17" xr3:uid="{AC930BE7-95A7-4901-86E1-4B30F873ED5B}" name="NIT BENEFICIARIO " dataDxfId="180" totalsRowDxfId="179"/>
    <tableColumn id="16" xr3:uid="{42067A19-09C3-42B8-B74C-894A8D29107F}" name="DV BENEFICIARIO" dataDxfId="178" totalsRowDxfId="177"/>
    <tableColumn id="15" xr3:uid="{DA8739E6-1906-460D-9552-062E2FC431C8}" name="MES A RECUPERAR" dataDxfId="176" totalsRowDxfId="175"/>
    <tableColumn id="9" xr3:uid="{B9E40D41-2DC7-4936-83CB-F6F2BF12D745}" name="BANCO" dataDxfId="174" totalsRowDxfId="173"/>
    <tableColumn id="4" xr3:uid="{97AA7E05-C396-4A6F-BE91-915B52BF2BB9}" name="VALOR A GARANTIZAR" totalsRowFunction="custom" dataDxfId="172" totalsRowDxfId="171" dataCellStyle="Moneda">
      <totalsRowFormula>+SUM(I8:I11)</totalsRowFormula>
    </tableColumn>
    <tableColumn id="12" xr3:uid="{8C4B4A91-8FDD-4494-A77E-977001D5D0F4}" name="Fecha Emisión" dataDxfId="170" totalsRowDxfId="169" dataCellStyle="Moneda"/>
    <tableColumn id="11" xr3:uid="{B28BE239-3233-4D00-9540-7869807CC537}" name="Fecha Vencimiento" dataDxfId="168" totalsRowDxfId="167" dataCellStyle="Moneda"/>
    <tableColumn id="10" xr3:uid="{FFEB51D2-B08B-4EEC-A9A3-274F42AE1974}" name="DIAS" dataDxfId="166" totalsRowDxfId="165" dataCellStyle="Moneda">
      <calculatedColumnFormula>+Tabla157[[#This Row],[Fecha Vencimiento]]-Tabla157[[#This Row],[Fecha Emisión]]</calculatedColumnFormula>
    </tableColumn>
    <tableColumn id="5" xr3:uid="{E09552F5-93F9-4D69-BE80-E6ED6F22F742}" name="COMISIÓN " totalsRowFunction="custom" dataDxfId="164" totalsRowDxfId="163" dataCellStyle="Millares">
      <calculatedColumnFormula>+(I8*$D$19)*(L8/$D$20)</calculatedColumnFormula>
      <totalsRowFormula>+SUM(M8:M11)</totalsRowFormula>
    </tableColumn>
    <tableColumn id="6" xr3:uid="{EC9CCBD6-AF47-4DF1-8567-8D7497658B06}" name="IVA" totalsRowFunction="custom" dataDxfId="162" totalsRowDxfId="161" dataCellStyle="Millares">
      <calculatedColumnFormula>+M8*$D$21</calculatedColumnFormula>
      <totalsRowFormula>+SUM(N8:N11)</totalsRowFormula>
    </tableColumn>
    <tableColumn id="7" xr3:uid="{C75953DA-A4F6-4137-A4AD-087C9BB8E2D2}" name="IMP TIMBRE " totalsRowFunction="custom" dataDxfId="160" totalsRowDxfId="159" dataCellStyle="Millares">
      <calculatedColumnFormula>+M8*$D$22</calculatedColumnFormula>
      <totalsRowFormula>+SUM(O8:O11)</totalsRowFormula>
    </tableColumn>
    <tableColumn id="8" xr3:uid="{C94EFECF-1290-4F79-A54B-A8BB3D061BAC}" name="COMISION TOTAL" totalsRowFunction="custom" dataDxfId="158" totalsRowDxfId="157" dataCellStyle="Millares">
      <calculatedColumnFormula>+SUM(Tabla157[[#This Row],[COMISIÓN ]:[IMP TIMBRE ]])</calculatedColumnFormula>
      <totalsRowFormula>+SUM(P8:P11)</totalsRowFormula>
    </tableColumn>
    <tableColumn id="19" xr3:uid="{86F58488-C759-4251-90CC-3B667997F204}" name="COSTO A RECUPERAR" totalsRowFunction="sum" dataDxfId="156" totalsRowDxfId="155" dataCellStyle="Millares"/>
    <tableColumn id="13" xr3:uid="{DFC95D4F-9985-42AD-86C3-19B083E11DB9}" name="validacion banco" totalsRowFunction="sum" dataDxfId="154" totalsRowDxfId="153" dataCellStyle="Millares"/>
    <tableColumn id="18" xr3:uid="{8CB74350-7C8D-48AB-9D04-4F202D041E79}" name="DIFERENCIA" dataDxfId="152" totalsRowDxfId="151" dataCellStyle="Millares">
      <calculatedColumnFormula>+Tabla157[[#This Row],[COMISION TOTAL]]-Tabla157[[#This Row],[validacion banco]]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26BC668-A203-4A0E-859E-17885DD1DB80}" name="Tabla15759" displayName="Tabla15759" ref="B7:S12" totalsRowCount="1" headerRowDxfId="150" dataDxfId="149" dataCellStyle="Millares">
  <sortState xmlns:xlrd2="http://schemas.microsoft.com/office/spreadsheetml/2017/richdata2" ref="B8:Q9">
    <sortCondition ref="D7:D9"/>
  </sortState>
  <tableColumns count="18">
    <tableColumn id="1" xr3:uid="{A0AD4B97-CEE2-425F-86F0-405CC8152367}" name="No. GARANTÍA" dataDxfId="148" totalsRowDxfId="147"/>
    <tableColumn id="2" xr3:uid="{F89B4588-70B2-4A61-AC17-FDE636A1ED55}" name="CONCEPTO" dataDxfId="146" totalsRowDxfId="145"/>
    <tableColumn id="14" xr3:uid="{CC7C1BE8-0039-4250-A5E2-804DD76349D4}" name="Tipo Garantía" dataDxfId="144" totalsRowDxfId="143"/>
    <tableColumn id="3" xr3:uid="{F646C253-994D-4AFD-84D0-8FEF495A5FBC}" name="A FAVOR DE" dataDxfId="142" totalsRowDxfId="141"/>
    <tableColumn id="17" xr3:uid="{45566263-7F71-476F-B0C8-4F9CBC98C347}" name="NIT BENEFICIARIO " dataDxfId="140" totalsRowDxfId="139"/>
    <tableColumn id="16" xr3:uid="{6CF9390D-3B8F-4AB6-B920-F05331C7D441}" name="DV BENEFICIARIO" dataDxfId="138" totalsRowDxfId="137"/>
    <tableColumn id="15" xr3:uid="{6244EEA0-CFBF-4F25-B130-37A06C724A67}" name="BANCO" dataDxfId="136" totalsRowDxfId="135"/>
    <tableColumn id="9" xr3:uid="{8873FC7F-8A42-4B95-893E-629960A98301}" name="VALOR A GARANTIZAR" dataDxfId="134" totalsRowDxfId="133"/>
    <tableColumn id="4" xr3:uid="{98FFD321-FD89-43B2-ABFF-4A98EA53BDD3}" name="Fecha Emisión" dataDxfId="132" totalsRowDxfId="131" dataCellStyle="Moneda"/>
    <tableColumn id="12" xr3:uid="{DC3AF0CF-D9C8-4EAB-96D6-6B8EDA375C8C}" name="Fecha Vencimiento" dataDxfId="130" totalsRowDxfId="129" dataCellStyle="Moneda"/>
    <tableColumn id="11" xr3:uid="{0D17311B-F669-4A8D-AE62-86D68AFF02A5}" name="DIAS" dataDxfId="128" totalsRowDxfId="127" dataCellStyle="Moneda">
      <calculatedColumnFormula>+Tabla157[[#This Row],[Fecha Vencimiento]]-Tabla157[[#This Row],[Fecha Emisión]]</calculatedColumnFormula>
    </tableColumn>
    <tableColumn id="10" xr3:uid="{9AB6517E-300A-4A13-A7DB-C673508FC11C}" name="COMISIÓN " dataDxfId="126" totalsRowDxfId="125" dataCellStyle="Moneda"/>
    <tableColumn id="5" xr3:uid="{58B06991-A585-450B-9534-3474B0DE5C6B}" name="IVA" dataDxfId="124" totalsRowDxfId="123" dataCellStyle="Millares">
      <calculatedColumnFormula>+M8*$D$15</calculatedColumnFormula>
    </tableColumn>
    <tableColumn id="6" xr3:uid="{B6A01DCA-B2D6-4E4D-8B05-5303112ADCE7}" name="IMP TIMBRE " dataDxfId="122" totalsRowDxfId="121" dataCellStyle="Millares">
      <calculatedColumnFormula>+M8*$D$16</calculatedColumnFormula>
    </tableColumn>
    <tableColumn id="7" xr3:uid="{4E104850-A3D8-4223-B778-A0E0FE574910}" name="COMISION TOTAL" dataDxfId="120" totalsRowDxfId="119" dataCellStyle="Millares">
      <calculatedColumnFormula>+SUM(Tabla157[[#This Row],[COMISIÓN ]:[IMP TIMBRE ]])</calculatedColumnFormula>
    </tableColumn>
    <tableColumn id="8" xr3:uid="{A03098FE-7B28-4F12-B7E1-5EB59E714A44}" name="COSTO A RECUPERAR" dataDxfId="118" totalsRowDxfId="117" dataCellStyle="Millares"/>
    <tableColumn id="19" xr3:uid="{EEDAD3BA-CF79-4588-B413-1EC1FE0C0366}" name="Columna1" dataDxfId="116" totalsRowDxfId="115" dataCellStyle="Millares"/>
    <tableColumn id="13" xr3:uid="{0842E3B2-FFC9-40EC-978A-6422D095C7FD}" name="validacion banco" dataDxfId="114" totalsRowDxfId="113" dataCellStyle="Millares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0DA9B1-D23F-4EA3-A30F-72916529AA39}" name="Tabla158" displayName="Tabla158" ref="B7:R24" totalsRowCount="1" headerRowDxfId="112" dataDxfId="111" dataCellStyle="Millares">
  <sortState xmlns:xlrd2="http://schemas.microsoft.com/office/spreadsheetml/2017/richdata2" ref="B8:Q20">
    <sortCondition ref="D7:D20"/>
  </sortState>
  <tableColumns count="17">
    <tableColumn id="1" xr3:uid="{690D151D-5631-45D3-9363-9EDDD7E2B36E}" name="No. GARANTÍA" totalsRowLabel="TOTAL" dataDxfId="110" totalsRowDxfId="109"/>
    <tableColumn id="2" xr3:uid="{C3551D5D-0FAA-4B65-8307-D5D1D09AAFE4}" name="CONCEPTO" dataDxfId="108" totalsRowDxfId="107"/>
    <tableColumn id="14" xr3:uid="{A30D1A53-6305-487A-AFE9-6B1B3416E648}" name="Tipo Garantía" dataDxfId="106" totalsRowDxfId="105"/>
    <tableColumn id="3" xr3:uid="{08046350-F652-49B6-9834-99842BF48CDC}" name="A FAVOR DE" dataDxfId="104" totalsRowDxfId="103"/>
    <tableColumn id="17" xr3:uid="{F79B3E37-4C0C-415D-9E2B-97451C7C47C6}" name="NIT BENEFICIARIO " dataDxfId="102" totalsRowDxfId="101"/>
    <tableColumn id="16" xr3:uid="{21865622-BC77-4DEE-A4F8-6903D00A9FF4}" name="DV BENEFICIARIO" dataDxfId="100" totalsRowDxfId="99"/>
    <tableColumn id="15" xr3:uid="{5C6DCD69-3673-4E3E-821A-876B1EF96748}" name="MES A RECUPERAR" dataDxfId="98" totalsRowDxfId="97"/>
    <tableColumn id="9" xr3:uid="{80A8DE0E-2D75-4DA6-885F-17A39870F879}" name="BANCO" dataDxfId="96" totalsRowDxfId="95"/>
    <tableColumn id="4" xr3:uid="{EFDED2CD-D07D-4FED-8C0C-E15BA216B894}" name="VALOR A GARANTIZAR" totalsRowFunction="custom" dataDxfId="94" totalsRowDxfId="93" dataCellStyle="Moneda">
      <totalsRowFormula>+SUM(J8:J23)</totalsRowFormula>
    </tableColumn>
    <tableColumn id="12" xr3:uid="{9B457210-4163-444B-942D-6574D7E24401}" name="Fecha Emisión" dataDxfId="92" totalsRowDxfId="91" dataCellStyle="Moneda"/>
    <tableColumn id="11" xr3:uid="{27CC674E-2E5A-4195-80D0-0312A30D7809}" name="Fecha Vencimiento" dataDxfId="90" totalsRowDxfId="89" dataCellStyle="Moneda"/>
    <tableColumn id="10" xr3:uid="{7F543D0F-E486-4C1E-908E-F167F0C0EA2B}" name="DIAS" dataDxfId="88" totalsRowDxfId="87" dataCellStyle="Moneda">
      <calculatedColumnFormula>+Tabla158[[#This Row],[Fecha Vencimiento]]-Tabla158[[#This Row],[Fecha Emisión]]</calculatedColumnFormula>
    </tableColumn>
    <tableColumn id="5" xr3:uid="{795FD4D0-608B-404A-A4C5-CE69C12B816A}" name="COMISIÓN " totalsRowFunction="custom" dataDxfId="86" totalsRowDxfId="85" dataCellStyle="Millares">
      <calculatedColumnFormula>+(J8*$E$28)*(M8/$E$29)</calculatedColumnFormula>
      <totalsRowFormula>+SUM(N8:N23)</totalsRowFormula>
    </tableColumn>
    <tableColumn id="6" xr3:uid="{580CCD18-C532-43B7-88EA-50E38F09E3BE}" name="IVA" totalsRowFunction="custom" dataDxfId="84" totalsRowDxfId="83" dataCellStyle="Millares">
      <calculatedColumnFormula>+N8*$E$27</calculatedColumnFormula>
      <totalsRowFormula>+SUM(O8:O23)</totalsRowFormula>
    </tableColumn>
    <tableColumn id="7" xr3:uid="{300A9779-3BB5-4CC3-B3D6-450B42F8EFE1}" name="IMP TIMBRE " totalsRowFunction="custom" dataDxfId="82" totalsRowDxfId="81" dataCellStyle="Millares">
      <calculatedColumnFormula>+N8*$E$28</calculatedColumnFormula>
      <totalsRowFormula>+SUM(P8:P23)</totalsRowFormula>
    </tableColumn>
    <tableColumn id="8" xr3:uid="{EBA6A63E-4F82-4A1B-9A79-E2C5459EB002}" name="COMISION TOTAL" totalsRowFunction="custom" dataDxfId="80" totalsRowDxfId="79" dataCellStyle="Millares">
      <calculatedColumnFormula>+N8+O8+P8</calculatedColumnFormula>
      <totalsRowFormula>+SUM(Q8:Q23)</totalsRowFormula>
    </tableColumn>
    <tableColumn id="19" xr3:uid="{462C0A27-977A-46A4-98D4-0126ADFFD5A1}" name="COSTO A RECUPERAR" totalsRowFunction="sum" dataDxfId="78" totalsRowDxfId="77" dataCellStyle="Millares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7:R19" totalsRowCount="1" headerRowDxfId="76" dataDxfId="75" dataCellStyle="Millares">
  <sortState xmlns:xlrd2="http://schemas.microsoft.com/office/spreadsheetml/2017/richdata2" ref="B8:Q18">
    <sortCondition ref="D7:D18"/>
  </sortState>
  <tableColumns count="17">
    <tableColumn id="1" xr3:uid="{00000000-0010-0000-0000-000001000000}" name="No. GARANTÍA" totalsRowLabel="TOTAL" dataDxfId="74" totalsRowDxfId="73"/>
    <tableColumn id="2" xr3:uid="{00000000-0010-0000-0000-000002000000}" name="CONCEPTO" dataDxfId="72" totalsRowDxfId="71"/>
    <tableColumn id="14" xr3:uid="{8B595544-2420-40A2-98D6-5712596827FD}" name="Tipo Garantía" dataDxfId="70" totalsRowDxfId="69"/>
    <tableColumn id="3" xr3:uid="{00000000-0010-0000-0000-000003000000}" name="A FAVOR DE" dataDxfId="68" totalsRowDxfId="67"/>
    <tableColumn id="17" xr3:uid="{00000000-0010-0000-0000-000011000000}" name="NIT BENEFICIARIO " dataDxfId="66" totalsRowDxfId="65"/>
    <tableColumn id="16" xr3:uid="{00000000-0010-0000-0000-000010000000}" name="DV BENEFICIARIO" dataDxfId="64" totalsRowDxfId="63"/>
    <tableColumn id="15" xr3:uid="{00000000-0010-0000-0000-00000F000000}" name="MES A RECUPERAR" dataDxfId="62" totalsRowDxfId="61"/>
    <tableColumn id="9" xr3:uid="{00000000-0010-0000-0000-000009000000}" name="BANCO" dataDxfId="60" totalsRowDxfId="59"/>
    <tableColumn id="4" xr3:uid="{00000000-0010-0000-0000-000004000000}" name="VALOR A GARANTIZAR" totalsRowFunction="custom" dataDxfId="58" totalsRowDxfId="57" dataCellStyle="Moneda">
      <totalsRowFormula>+SUM(J8:J18)</totalsRowFormula>
    </tableColumn>
    <tableColumn id="12" xr3:uid="{00000000-0010-0000-0000-00000C000000}" name="Fecha Emisión" dataDxfId="56" totalsRowDxfId="55" dataCellStyle="Moneda"/>
    <tableColumn id="11" xr3:uid="{00000000-0010-0000-0000-00000B000000}" name="Fecha Vencimiento" dataDxfId="54" totalsRowDxfId="53" dataCellStyle="Moneda"/>
    <tableColumn id="10" xr3:uid="{00000000-0010-0000-0000-00000A000000}" name="DIAS" dataDxfId="52" totalsRowDxfId="51" dataCellStyle="Moneda">
      <calculatedColumnFormula>+Tabla1[[#This Row],[Fecha Vencimiento]]-Tabla1[[#This Row],[Fecha Emisión]]</calculatedColumnFormula>
    </tableColumn>
    <tableColumn id="5" xr3:uid="{00000000-0010-0000-0000-000005000000}" name="COMISIÓN " totalsRowFunction="custom" dataDxfId="50" totalsRowDxfId="49" dataCellStyle="Millares">
      <calculatedColumnFormula>+(J8*$E$21)*(M8/$E$22)</calculatedColumnFormula>
      <totalsRowFormula>+SUM(N8:N18)</totalsRowFormula>
    </tableColumn>
    <tableColumn id="6" xr3:uid="{00000000-0010-0000-0000-000006000000}" name="IVA" totalsRowFunction="custom" dataDxfId="48" totalsRowDxfId="47" dataCellStyle="Millares">
      <calculatedColumnFormula>+N8*$E$22</calculatedColumnFormula>
      <totalsRowFormula>+SUM(O8:O18)</totalsRowFormula>
    </tableColumn>
    <tableColumn id="7" xr3:uid="{00000000-0010-0000-0000-000007000000}" name="IMP TIMBRE " totalsRowFunction="custom" dataDxfId="46" totalsRowDxfId="45" dataCellStyle="Millares">
      <calculatedColumnFormula>+N8*$E$23</calculatedColumnFormula>
      <totalsRowFormula>+SUM(P8:P18)</totalsRowFormula>
    </tableColumn>
    <tableColumn id="8" xr3:uid="{00000000-0010-0000-0000-000008000000}" name="VR TOTAL" totalsRowFunction="custom" dataDxfId="44" totalsRowDxfId="43" dataCellStyle="Millares">
      <calculatedColumnFormula>+N8+O8+P8</calculatedColumnFormula>
      <totalsRowFormula>+SUM(Q8:Q18)</totalsRowFormula>
    </tableColumn>
    <tableColumn id="19" xr3:uid="{F29D920F-F72D-4D00-A363-F4494B417AA0}" name="COSTO A RECUPERAR" totalsRowFunction="sum" dataDxfId="42" totalsRowDxfId="41" dataCellStyle="Millares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B7:L11" totalsRowShown="0" headerRowDxfId="40" dataDxfId="39" dataCellStyle="Millares">
  <tableColumns count="11">
    <tableColumn id="1" xr3:uid="{00000000-0010-0000-0100-000001000000}" name="No. GARANTÍA" dataDxfId="38" totalsRowDxfId="37"/>
    <tableColumn id="2" xr3:uid="{00000000-0010-0000-0100-000002000000}" name="CONCEPTO" dataDxfId="36" totalsRowDxfId="35"/>
    <tableColumn id="3" xr3:uid="{00000000-0010-0000-0100-000003000000}" name="A FAVOR DE" dataDxfId="34" totalsRowDxfId="33"/>
    <tableColumn id="9" xr3:uid="{00000000-0010-0000-0100-000009000000}" name="Banco" dataDxfId="32" totalsRowDxfId="31"/>
    <tableColumn id="4" xr3:uid="{00000000-0010-0000-0100-000004000000}" name="VALOR A GARANTIZAR" dataDxfId="30" totalsRowDxfId="29" dataCellStyle="Moneda"/>
    <tableColumn id="12" xr3:uid="{00000000-0010-0000-0100-00000C000000}" name="Fecha de Emisión" dataDxfId="28" totalsRowDxfId="27" dataCellStyle="Moneda"/>
    <tableColumn id="11" xr3:uid="{00000000-0010-0000-0100-00000B000000}" name="Fecha Vencimiento" dataDxfId="26" totalsRowDxfId="25" dataCellStyle="Moneda"/>
    <tableColumn id="10" xr3:uid="{00000000-0010-0000-0100-00000A000000}" name="DIAS" dataDxfId="24" totalsRowDxfId="23" dataCellStyle="Moneda"/>
    <tableColumn id="5" xr3:uid="{00000000-0010-0000-0100-000005000000}" name="COMISIÓN " dataDxfId="22" totalsRowDxfId="21" dataCellStyle="Millares">
      <calculatedColumnFormula>+((Tabla13[[#This Row],[VALOR A GARANTIZAR]]*1.5%)/360)*30</calculatedColumnFormula>
    </tableColumn>
    <tableColumn id="6" xr3:uid="{00000000-0010-0000-0100-000006000000}" name="IVA" dataDxfId="20" totalsRowDxfId="19" dataCellStyle="Millares">
      <calculatedColumnFormula>+Tabla13[[#This Row],[COMISIÓN ]]*19%</calculatedColumnFormula>
    </tableColumn>
    <tableColumn id="8" xr3:uid="{00000000-0010-0000-0100-000008000000}" name="TOTAL COMISION" dataDxfId="18" totalsRowDxfId="17" dataCellStyle="Moneda">
      <calculatedColumnFormula>+J8+K8+#REF!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N7:R11" totalsRowShown="0" headerRowDxfId="16" dataDxfId="15" dataCellStyle="Millares">
  <tableColumns count="5">
    <tableColumn id="1" xr3:uid="{00000000-0010-0000-0200-000001000000}" name="comision real" dataDxfId="14" dataCellStyle="Millares"/>
    <tableColumn id="2" xr3:uid="{00000000-0010-0000-0200-000002000000}" name="IVA" dataDxfId="13" dataCellStyle="Millares">
      <calculatedColumnFormula>+N8*19%</calculatedColumnFormula>
    </tableColumn>
    <tableColumn id="3" xr3:uid="{00000000-0010-0000-0200-000003000000}" name="total EEP" dataDxfId="12" dataCellStyle="Millares">
      <calculatedColumnFormula>+N8+O8</calculatedColumnFormula>
    </tableColumn>
    <tableColumn id="4" xr3:uid="{00000000-0010-0000-0200-000004000000}" name="BANCOLOMBIA" dataDxfId="11" dataCellStyle="Millares"/>
    <tableColumn id="5" xr3:uid="{00000000-0010-0000-0200-000005000000}" name="DIFERENCIA" dataDxfId="10" dataCellStyle="Millares">
      <calculatedColumnFormula>+Tabla3[[#This Row],[total EEP]]-Tabla3[[#This Row],[BANCOLOMBIA]]</calculatedColumnFormula>
    </tableColumn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1:I8" totalsRowShown="0" headerRowDxfId="9" dataDxfId="8" headerRowCellStyle="Millares" dataCellStyle="Millares">
  <tableColumns count="9">
    <tableColumn id="1" xr3:uid="{00000000-0010-0000-0300-000001000000}" name="No. GARANTÍA" dataDxfId="7"/>
    <tableColumn id="2" xr3:uid="{00000000-0010-0000-0300-000002000000}" name="VALOR A GARANTIZAR"/>
    <tableColumn id="3" xr3:uid="{00000000-0010-0000-0300-000003000000}" name="Fecha de Emisión" dataDxfId="6" dataCellStyle="Moneda"/>
    <tableColumn id="4" xr3:uid="{00000000-0010-0000-0300-000004000000}" name="Fecha Vencimiento" dataDxfId="5" dataCellStyle="Moneda"/>
    <tableColumn id="5" xr3:uid="{00000000-0010-0000-0300-000005000000}" name="DIAS" dataDxfId="4" dataCellStyle="Moneda"/>
    <tableColumn id="6" xr3:uid="{00000000-0010-0000-0300-000006000000}" name="COMISIÓN " dataDxfId="3" dataCellStyle="Millares"/>
    <tableColumn id="7" xr3:uid="{00000000-0010-0000-0300-000007000000}" name="IVA" dataDxfId="2" dataCellStyle="Millares"/>
    <tableColumn id="8" xr3:uid="{00000000-0010-0000-0300-000008000000}" name="IMP TIMBRE " dataDxfId="1" dataCellStyle="Millares"/>
    <tableColumn id="9" xr3:uid="{00000000-0010-0000-0300-000009000000}" name="COMISION" dataDxfId="0" dataCellStyle="Millares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EFC0-3CAF-45D4-BDF9-D84555983F4F}">
  <sheetPr>
    <pageSetUpPr fitToPage="1"/>
  </sheetPr>
  <dimension ref="B4:Z77"/>
  <sheetViews>
    <sheetView showGridLines="0" tabSelected="1" topLeftCell="A4" zoomScale="85" zoomScaleNormal="85" workbookViewId="0">
      <pane xSplit="5" ySplit="4" topLeftCell="F8" activePane="bottomRight" state="frozen"/>
      <selection activeCell="A4" sqref="A4"/>
      <selection pane="topRight" activeCell="G4" sqref="G4"/>
      <selection pane="bottomLeft" activeCell="A8" sqref="A8"/>
      <selection pane="bottomRight" activeCell="I21" sqref="I21"/>
    </sheetView>
  </sheetViews>
  <sheetFormatPr baseColWidth="10" defaultRowHeight="14.4" x14ac:dyDescent="0.3"/>
  <cols>
    <col min="1" max="1" width="3.5546875" customWidth="1"/>
    <col min="2" max="2" width="21.33203125" bestFit="1" customWidth="1"/>
    <col min="3" max="3" width="14.33203125" customWidth="1"/>
    <col min="4" max="4" width="20.77734375" customWidth="1"/>
    <col min="5" max="5" width="18.6640625" customWidth="1"/>
    <col min="6" max="6" width="17.6640625" customWidth="1"/>
    <col min="7" max="7" width="19.44140625" customWidth="1"/>
    <col min="8" max="8" width="12.6640625" customWidth="1"/>
    <col min="9" max="9" width="22.6640625" customWidth="1"/>
    <col min="10" max="10" width="16.5546875" customWidth="1"/>
    <col min="11" max="11" width="18.33203125" customWidth="1"/>
    <col min="12" max="12" width="6.44140625" customWidth="1"/>
    <col min="13" max="13" width="15.77734375" style="1" customWidth="1"/>
    <col min="14" max="14" width="13.6640625" style="1" customWidth="1"/>
    <col min="15" max="15" width="13.33203125" style="1" customWidth="1"/>
    <col min="16" max="16" width="18.33203125" bestFit="1" customWidth="1"/>
    <col min="17" max="17" width="21.6640625" customWidth="1"/>
    <col min="18" max="18" width="16.44140625" hidden="1" customWidth="1"/>
    <col min="19" max="19" width="0" hidden="1" customWidth="1"/>
    <col min="22" max="22" width="14.21875" bestFit="1" customWidth="1"/>
    <col min="23" max="23" width="23.33203125" style="46" bestFit="1" customWidth="1"/>
    <col min="24" max="24" width="18.109375" style="46" bestFit="1" customWidth="1"/>
    <col min="25" max="25" width="16.44140625" bestFit="1" customWidth="1"/>
  </cols>
  <sheetData>
    <row r="4" spans="2:22" ht="25.8" x14ac:dyDescent="0.5">
      <c r="B4" s="155" t="s">
        <v>139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7" spans="2:22" ht="15.6" x14ac:dyDescent="0.3">
      <c r="B7" s="10" t="s">
        <v>0</v>
      </c>
      <c r="C7" s="83" t="s">
        <v>66</v>
      </c>
      <c r="D7" s="10" t="s">
        <v>2</v>
      </c>
      <c r="E7" s="10" t="s">
        <v>64</v>
      </c>
      <c r="F7" s="10" t="s">
        <v>65</v>
      </c>
      <c r="G7" s="10" t="s">
        <v>63</v>
      </c>
      <c r="H7" s="10" t="s">
        <v>51</v>
      </c>
      <c r="I7" s="10" t="s">
        <v>3</v>
      </c>
      <c r="J7" s="10" t="s">
        <v>55</v>
      </c>
      <c r="K7" s="10" t="s">
        <v>5</v>
      </c>
      <c r="L7" s="10" t="s">
        <v>6</v>
      </c>
      <c r="M7" s="11" t="s">
        <v>7</v>
      </c>
      <c r="N7" s="11" t="s">
        <v>8</v>
      </c>
      <c r="O7" s="11" t="s">
        <v>9</v>
      </c>
      <c r="P7" s="10" t="s">
        <v>96</v>
      </c>
      <c r="Q7" s="83" t="s">
        <v>81</v>
      </c>
      <c r="R7" s="105" t="s">
        <v>99</v>
      </c>
      <c r="S7" s="142" t="s">
        <v>36</v>
      </c>
    </row>
    <row r="8" spans="2:22" ht="15.6" x14ac:dyDescent="0.3">
      <c r="B8" s="79" t="s">
        <v>135</v>
      </c>
      <c r="C8" s="136">
        <v>1</v>
      </c>
      <c r="D8" s="83" t="s">
        <v>61</v>
      </c>
      <c r="E8" s="63">
        <v>900042857</v>
      </c>
      <c r="F8" s="136">
        <v>1</v>
      </c>
      <c r="G8" s="134">
        <v>4</v>
      </c>
      <c r="H8" s="83" t="s">
        <v>52</v>
      </c>
      <c r="I8" s="137">
        <v>8631596921</v>
      </c>
      <c r="J8" s="138">
        <v>44637</v>
      </c>
      <c r="K8" s="133">
        <v>44705</v>
      </c>
      <c r="L8" s="139">
        <f>+Tabla157[[#This Row],[Fecha Vencimiento]]-Tabla157[[#This Row],[Fecha Emisión]]</f>
        <v>68</v>
      </c>
      <c r="M8" s="140">
        <f>+(I8*$D$14)*(L8/$D$15)</f>
        <v>8040391.6524383575</v>
      </c>
      <c r="N8" s="71">
        <f>+M8*$D$16</f>
        <v>1527674.4139632878</v>
      </c>
      <c r="O8" s="71">
        <f>+M8*$D$17</f>
        <v>40201.958262191787</v>
      </c>
      <c r="P8" s="140">
        <f>+SUM(Tabla157[[#This Row],[COMISIÓN ]:[IMP TIMBRE ]])</f>
        <v>9608268.0246638376</v>
      </c>
      <c r="Q8" s="112">
        <v>9608268</v>
      </c>
      <c r="R8" s="130">
        <v>18680108</v>
      </c>
      <c r="S8" s="143">
        <f>+Tabla157[[#This Row],[COMISION TOTAL]]-Tabla157[[#This Row],[validacion banco]]</f>
        <v>-9071839.9753361624</v>
      </c>
      <c r="V8" s="46"/>
    </row>
    <row r="9" spans="2:22" ht="15.6" x14ac:dyDescent="0.3">
      <c r="B9" s="127" t="s">
        <v>137</v>
      </c>
      <c r="C9" s="83">
        <v>2</v>
      </c>
      <c r="D9" s="63" t="s">
        <v>61</v>
      </c>
      <c r="E9" s="63">
        <v>900042857</v>
      </c>
      <c r="F9" s="83">
        <v>1</v>
      </c>
      <c r="G9" s="134">
        <v>4</v>
      </c>
      <c r="H9" s="83" t="s">
        <v>52</v>
      </c>
      <c r="I9" s="135">
        <v>24744285</v>
      </c>
      <c r="J9" s="146">
        <v>44636</v>
      </c>
      <c r="K9" s="146">
        <v>44705</v>
      </c>
      <c r="L9" s="131">
        <f>+Tabla157[[#This Row],[Fecha Vencimiento]]-Tabla157[[#This Row],[Fecha Emisión]]</f>
        <v>69</v>
      </c>
      <c r="M9" s="71">
        <v>836820</v>
      </c>
      <c r="N9" s="71">
        <f>+M9*$D$16</f>
        <v>158995.79999999999</v>
      </c>
      <c r="O9" s="71">
        <f>+M9*$D$17</f>
        <v>4184.1000000000004</v>
      </c>
      <c r="P9" s="111">
        <f>+SUM(Tabla157[[#This Row],[COMISIÓN ]:[IMP TIMBRE ]])</f>
        <v>999999.9</v>
      </c>
      <c r="Q9" s="111">
        <v>0</v>
      </c>
      <c r="R9" s="130">
        <v>2085607.28</v>
      </c>
      <c r="S9" s="151">
        <f>+Tabla157[[#This Row],[COMISION TOTAL]]-Tabla157[[#This Row],[validacion banco]]</f>
        <v>-1085607.3799999999</v>
      </c>
      <c r="V9" s="46"/>
    </row>
    <row r="10" spans="2:22" ht="15.6" x14ac:dyDescent="0.3">
      <c r="B10" s="127" t="s">
        <v>138</v>
      </c>
      <c r="C10" s="83">
        <v>2</v>
      </c>
      <c r="D10" s="63" t="s">
        <v>61</v>
      </c>
      <c r="E10" s="63">
        <v>900042857</v>
      </c>
      <c r="F10" s="142">
        <v>1</v>
      </c>
      <c r="G10" s="134">
        <v>4</v>
      </c>
      <c r="H10" s="83" t="s">
        <v>52</v>
      </c>
      <c r="I10" s="145">
        <v>2262503191</v>
      </c>
      <c r="J10" s="146">
        <v>44636</v>
      </c>
      <c r="K10" s="146">
        <v>44705</v>
      </c>
      <c r="L10" s="147">
        <f>+Tabla157[[#This Row],[Fecha Vencimiento]]-Tabla157[[#This Row],[Fecha Emisión]]</f>
        <v>69</v>
      </c>
      <c r="M10" s="148">
        <f>+(I10*$D$14)*(L10/$D$15)</f>
        <v>2138530.4134109588</v>
      </c>
      <c r="N10" s="148">
        <f>+M10*$D$16</f>
        <v>406320.77854808216</v>
      </c>
      <c r="O10" s="148">
        <f>+M10*$D$17</f>
        <v>10692.652067054794</v>
      </c>
      <c r="P10" s="148">
        <f>+SUM(Tabla157[[#This Row],[COMISIÓN ]:[IMP TIMBRE ]])</f>
        <v>2555543.8440260962</v>
      </c>
      <c r="Q10" s="112">
        <v>1974132</v>
      </c>
      <c r="R10" s="149"/>
      <c r="S10" s="143">
        <f>+Tabla157[[#This Row],[COMISION TOTAL]]-Tabla157[[#This Row],[validacion banco]]</f>
        <v>2555543.8440260962</v>
      </c>
      <c r="V10" s="46"/>
    </row>
    <row r="11" spans="2:22" ht="15.6" x14ac:dyDescent="0.3">
      <c r="B11" s="127" t="s">
        <v>133</v>
      </c>
      <c r="C11" s="83">
        <v>3</v>
      </c>
      <c r="D11" s="83" t="s">
        <v>15</v>
      </c>
      <c r="E11" s="63">
        <v>890800128</v>
      </c>
      <c r="F11" s="83">
        <v>6</v>
      </c>
      <c r="G11" s="134">
        <v>4</v>
      </c>
      <c r="H11" s="83" t="s">
        <v>52</v>
      </c>
      <c r="I11" s="144">
        <v>1115733707</v>
      </c>
      <c r="J11" s="109">
        <v>44453</v>
      </c>
      <c r="K11" s="53">
        <v>44884</v>
      </c>
      <c r="L11" s="110">
        <f>+Tabla157[[#This Row],[Fecha Vencimiento]]-Tabla157[[#This Row],[Fecha Emisión]]</f>
        <v>431</v>
      </c>
      <c r="M11" s="71">
        <v>6587414</v>
      </c>
      <c r="N11" s="71">
        <f>+M11*$D$16</f>
        <v>1251608.6599999999</v>
      </c>
      <c r="O11" s="71">
        <f>+M11*$D$17</f>
        <v>32937.07</v>
      </c>
      <c r="P11" s="111">
        <f>+SUM(Tabla157[[#This Row],[COMISIÓN ]:[IMP TIMBRE ]])</f>
        <v>7871959.7300000004</v>
      </c>
      <c r="Q11" s="112">
        <v>125584</v>
      </c>
      <c r="R11" s="130">
        <v>7871960</v>
      </c>
      <c r="S11" s="143">
        <f>+Tabla157[[#This Row],[COMISION TOTAL]]-Tabla157[[#This Row],[validacion banco]]</f>
        <v>-0.26999999955296516</v>
      </c>
      <c r="V11" s="46"/>
    </row>
    <row r="12" spans="2:22" ht="15.6" x14ac:dyDescent="0.3">
      <c r="B12" s="83" t="s">
        <v>44</v>
      </c>
      <c r="C12" s="57"/>
      <c r="D12" s="83"/>
      <c r="E12" s="83"/>
      <c r="F12" s="83"/>
      <c r="G12" s="83"/>
      <c r="H12" s="83"/>
      <c r="I12" s="58">
        <f>+SUM(I8:I11)</f>
        <v>12034578104</v>
      </c>
      <c r="J12" s="58"/>
      <c r="K12" s="58"/>
      <c r="L12" s="59"/>
      <c r="M12" s="60">
        <f>+SUM(M8:M11)</f>
        <v>17603156.065849315</v>
      </c>
      <c r="N12" s="60">
        <f>+SUM(N8:N11)</f>
        <v>3344599.6525113699</v>
      </c>
      <c r="O12" s="60">
        <f>+SUM(O8:O11)</f>
        <v>88015.780329246569</v>
      </c>
      <c r="P12" s="60">
        <f>+SUM(P8:P11)</f>
        <v>21035771.498689935</v>
      </c>
      <c r="Q12" s="102">
        <f>SUBTOTAL(109,Tabla157[COSTO A RECUPERAR])</f>
        <v>11707984</v>
      </c>
      <c r="R12" s="60">
        <f>SUBTOTAL(109,Tabla157[validacion banco])</f>
        <v>28637675.280000001</v>
      </c>
      <c r="S12" s="57"/>
    </row>
    <row r="13" spans="2:22" ht="16.2" hidden="1" thickBot="1" x14ac:dyDescent="0.35">
      <c r="B13" s="83"/>
      <c r="C13" s="57"/>
      <c r="D13" s="83"/>
      <c r="E13" s="83"/>
      <c r="F13" s="83" t="s">
        <v>134</v>
      </c>
      <c r="G13" s="83"/>
      <c r="H13" s="83"/>
      <c r="I13" s="58"/>
      <c r="J13" s="58" t="s">
        <v>136</v>
      </c>
      <c r="K13" s="58"/>
      <c r="L13" s="59"/>
      <c r="M13" s="60"/>
      <c r="N13" s="60"/>
      <c r="O13" s="60"/>
      <c r="P13" s="60"/>
      <c r="Q13" s="102"/>
      <c r="R13" s="57"/>
    </row>
    <row r="14" spans="2:22" ht="21" hidden="1" x14ac:dyDescent="0.4">
      <c r="C14" s="80"/>
      <c r="D14" s="4">
        <v>5.0000000000000001E-3</v>
      </c>
      <c r="E14" s="40"/>
      <c r="F14" s="3" t="s">
        <v>16</v>
      </c>
      <c r="G14" s="80"/>
      <c r="H14" s="4">
        <v>4.4999999999999997E-3</v>
      </c>
      <c r="J14" s="3" t="s">
        <v>16</v>
      </c>
      <c r="K14" s="80"/>
      <c r="L14" s="4">
        <v>8.3000000000000001E-3</v>
      </c>
    </row>
    <row r="15" spans="2:22" ht="21" hidden="1" x14ac:dyDescent="0.4">
      <c r="C15" s="81"/>
      <c r="D15" s="6">
        <v>365</v>
      </c>
      <c r="E15" s="41"/>
      <c r="F15" s="5" t="s">
        <v>17</v>
      </c>
      <c r="G15" s="81"/>
      <c r="H15" s="6">
        <v>360</v>
      </c>
      <c r="J15" s="5" t="s">
        <v>17</v>
      </c>
      <c r="K15" s="81"/>
      <c r="L15" s="6">
        <v>365</v>
      </c>
    </row>
    <row r="16" spans="2:22" ht="21" hidden="1" x14ac:dyDescent="0.4">
      <c r="C16" s="81"/>
      <c r="D16" s="7">
        <v>0.19</v>
      </c>
      <c r="E16" s="42"/>
      <c r="F16" s="5" t="s">
        <v>8</v>
      </c>
      <c r="G16" s="81"/>
      <c r="H16" s="7">
        <v>0.19</v>
      </c>
      <c r="J16" s="5" t="s">
        <v>8</v>
      </c>
      <c r="K16" s="81"/>
      <c r="L16" s="7">
        <v>0.19</v>
      </c>
      <c r="R16" s="46" t="e">
        <f>+(#REF!/1.19)-2692</f>
        <v>#REF!</v>
      </c>
    </row>
    <row r="17" spans="2:26" ht="21.6" hidden="1" thickBot="1" x14ac:dyDescent="0.45">
      <c r="C17" s="82"/>
      <c r="D17" s="9">
        <v>5.0000000000000001E-3</v>
      </c>
      <c r="E17" s="43"/>
      <c r="F17" s="8" t="s">
        <v>18</v>
      </c>
      <c r="G17" s="82"/>
      <c r="H17" s="9">
        <v>5.0000000000000001E-3</v>
      </c>
      <c r="J17" s="8" t="s">
        <v>18</v>
      </c>
      <c r="K17" s="82"/>
      <c r="L17" s="9">
        <v>5.0000000000000001E-3</v>
      </c>
    </row>
    <row r="18" spans="2:26" ht="21" x14ac:dyDescent="0.4">
      <c r="C18" s="2"/>
    </row>
    <row r="19" spans="2:26" ht="21.6" thickBot="1" x14ac:dyDescent="0.45">
      <c r="C19" s="2"/>
      <c r="L19" s="107"/>
      <c r="N19" s="150"/>
      <c r="Q19" s="107"/>
      <c r="R19" s="107"/>
    </row>
    <row r="20" spans="2:26" ht="19.5" customHeight="1" thickBot="1" x14ac:dyDescent="0.4">
      <c r="B20" s="156" t="s">
        <v>140</v>
      </c>
      <c r="C20" s="157"/>
      <c r="D20" s="157"/>
      <c r="E20" s="157"/>
      <c r="F20" s="157"/>
      <c r="G20" s="157"/>
      <c r="H20" s="157"/>
      <c r="I20" s="157"/>
      <c r="J20" s="103">
        <f>+Tabla157[[#Totals],[COMISION TOTAL]]</f>
        <v>21035771.498689935</v>
      </c>
      <c r="L20" s="129"/>
      <c r="O20"/>
      <c r="P20" s="100"/>
      <c r="Q20" s="107"/>
      <c r="R20" s="107"/>
    </row>
    <row r="21" spans="2:26" ht="21" x14ac:dyDescent="0.4">
      <c r="C21" s="2"/>
      <c r="J21" s="107"/>
      <c r="N21" s="46"/>
      <c r="Q21" s="107"/>
      <c r="R21" s="107"/>
    </row>
    <row r="22" spans="2:26" ht="21" x14ac:dyDescent="0.4">
      <c r="B22" s="128"/>
      <c r="C22" s="2"/>
    </row>
    <row r="23" spans="2:26" ht="21" customHeight="1" x14ac:dyDescent="0.4">
      <c r="C23" s="2"/>
      <c r="L23" s="1"/>
      <c r="N23" s="106"/>
      <c r="P23" s="1"/>
    </row>
    <row r="24" spans="2:26" ht="18.75" customHeight="1" x14ac:dyDescent="0.3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1"/>
      <c r="N24"/>
      <c r="P24" s="1"/>
    </row>
    <row r="25" spans="2:26" ht="18" x14ac:dyDescent="0.35">
      <c r="B25" s="154" t="s">
        <v>38</v>
      </c>
      <c r="C25" s="154"/>
      <c r="D25" s="154"/>
      <c r="E25" s="154"/>
      <c r="F25" s="154"/>
      <c r="G25" s="154"/>
      <c r="H25" s="154"/>
      <c r="I25" s="154"/>
      <c r="J25" s="154"/>
      <c r="K25" s="154"/>
      <c r="L25" s="66"/>
      <c r="M25" s="154" t="s">
        <v>39</v>
      </c>
      <c r="N25" s="154"/>
      <c r="O25" s="154"/>
      <c r="T25" s="100"/>
      <c r="U25" s="100"/>
      <c r="V25" s="100"/>
      <c r="W25" s="101"/>
      <c r="X25" s="101"/>
      <c r="Y25" s="106"/>
      <c r="Z25" s="106"/>
    </row>
    <row r="26" spans="2:26" ht="18" x14ac:dyDescent="0.35">
      <c r="B26" s="154" t="s">
        <v>40</v>
      </c>
      <c r="C26" s="154"/>
      <c r="D26" s="154"/>
      <c r="E26" s="154"/>
      <c r="F26" s="154"/>
      <c r="G26" s="154"/>
      <c r="H26" s="154"/>
      <c r="I26" s="154"/>
      <c r="J26" s="154"/>
      <c r="K26" s="154"/>
      <c r="L26" s="66"/>
      <c r="M26" s="154" t="s">
        <v>41</v>
      </c>
      <c r="N26" s="154"/>
      <c r="O26" s="154"/>
      <c r="T26" s="100"/>
      <c r="U26" s="100"/>
      <c r="V26" s="100"/>
      <c r="W26" s="101"/>
      <c r="X26" s="101"/>
      <c r="Y26" s="153"/>
      <c r="Z26" s="106"/>
    </row>
    <row r="27" spans="2:26" ht="18" x14ac:dyDescent="0.35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66"/>
      <c r="M27" s="126"/>
      <c r="N27" s="126"/>
      <c r="O27" s="126"/>
      <c r="T27" s="100"/>
      <c r="U27" s="100"/>
      <c r="V27" s="100"/>
      <c r="W27" s="101"/>
      <c r="X27" s="101"/>
      <c r="Y27" s="153"/>
      <c r="Z27" s="106"/>
    </row>
    <row r="28" spans="2:26" ht="18" x14ac:dyDescent="0.3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66"/>
      <c r="M28" s="126"/>
      <c r="N28" s="126"/>
      <c r="O28" s="126"/>
    </row>
    <row r="29" spans="2:26" ht="18" x14ac:dyDescent="0.35">
      <c r="B29" s="126"/>
      <c r="C29" s="126"/>
      <c r="D29" s="126"/>
      <c r="E29" s="126"/>
      <c r="F29" s="126"/>
      <c r="G29" s="126"/>
      <c r="H29" s="126"/>
      <c r="I29" s="126"/>
      <c r="J29" s="141"/>
      <c r="K29" s="126"/>
      <c r="L29" s="66"/>
      <c r="M29" s="126"/>
      <c r="N29" s="126"/>
      <c r="O29" s="126"/>
    </row>
    <row r="30" spans="2:26" ht="18" x14ac:dyDescent="0.3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66"/>
      <c r="M30" s="126"/>
      <c r="N30" s="126"/>
      <c r="O30" s="126"/>
    </row>
    <row r="31" spans="2:26" ht="18" x14ac:dyDescent="0.3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66"/>
      <c r="M31" s="126"/>
      <c r="N31" s="126"/>
      <c r="O31" s="126"/>
    </row>
    <row r="32" spans="2:26" ht="18" x14ac:dyDescent="0.3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2:15" ht="18" x14ac:dyDescent="0.3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2:15" ht="18" x14ac:dyDescent="0.3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2:15" ht="18" x14ac:dyDescent="0.3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2:15" ht="18" x14ac:dyDescent="0.35">
      <c r="B36" s="154" t="s">
        <v>42</v>
      </c>
      <c r="C36" s="154"/>
      <c r="D36" s="154"/>
      <c r="E36" s="154"/>
      <c r="F36" s="154"/>
      <c r="G36" s="154"/>
      <c r="H36" s="154"/>
      <c r="I36" s="154"/>
      <c r="J36" s="154"/>
      <c r="K36" s="154"/>
      <c r="L36" s="66"/>
      <c r="M36" s="154" t="s">
        <v>56</v>
      </c>
      <c r="N36" s="154"/>
      <c r="O36" s="154"/>
    </row>
    <row r="37" spans="2:15" ht="18" x14ac:dyDescent="0.35">
      <c r="B37" s="154" t="s">
        <v>43</v>
      </c>
      <c r="C37" s="154"/>
      <c r="D37" s="154"/>
      <c r="E37" s="154"/>
      <c r="F37" s="154"/>
      <c r="G37" s="154"/>
      <c r="H37" s="154"/>
      <c r="I37" s="154"/>
      <c r="J37" s="154"/>
      <c r="K37" s="154"/>
      <c r="L37" s="66"/>
      <c r="M37" s="154" t="s">
        <v>43</v>
      </c>
      <c r="N37" s="154"/>
      <c r="O37" s="154"/>
    </row>
    <row r="38" spans="2:15" ht="18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41" spans="2:15" x14ac:dyDescent="0.3">
      <c r="M41" s="62"/>
    </row>
    <row r="60" spans="9:9" x14ac:dyDescent="0.3">
      <c r="I60" s="72"/>
    </row>
    <row r="64" spans="9:9" x14ac:dyDescent="0.3">
      <c r="I64" s="46"/>
    </row>
    <row r="65" spans="2:16" x14ac:dyDescent="0.3">
      <c r="I65" s="46"/>
    </row>
    <row r="66" spans="2:16" x14ac:dyDescent="0.3">
      <c r="I66" s="46"/>
      <c r="P66" s="56"/>
    </row>
    <row r="67" spans="2:16" x14ac:dyDescent="0.3">
      <c r="I67" s="46"/>
    </row>
    <row r="68" spans="2:16" x14ac:dyDescent="0.3">
      <c r="B68" s="84"/>
      <c r="I68" s="46"/>
    </row>
    <row r="69" spans="2:16" x14ac:dyDescent="0.3">
      <c r="I69" s="46"/>
    </row>
    <row r="70" spans="2:16" x14ac:dyDescent="0.3">
      <c r="I70" s="46"/>
    </row>
    <row r="71" spans="2:16" x14ac:dyDescent="0.3">
      <c r="I71" s="46"/>
    </row>
    <row r="72" spans="2:16" x14ac:dyDescent="0.3">
      <c r="I72" s="46"/>
    </row>
    <row r="73" spans="2:16" x14ac:dyDescent="0.3">
      <c r="I73" s="46"/>
    </row>
    <row r="74" spans="2:16" x14ac:dyDescent="0.3">
      <c r="I74" s="46"/>
    </row>
    <row r="75" spans="2:16" x14ac:dyDescent="0.3">
      <c r="I75" s="61"/>
    </row>
    <row r="76" spans="2:16" x14ac:dyDescent="0.3">
      <c r="I76" s="94"/>
    </row>
    <row r="77" spans="2:16" x14ac:dyDescent="0.3">
      <c r="I77" s="95"/>
    </row>
  </sheetData>
  <mergeCells count="10">
    <mergeCell ref="B36:K36"/>
    <mergeCell ref="M36:O36"/>
    <mergeCell ref="B37:K37"/>
    <mergeCell ref="M37:O37"/>
    <mergeCell ref="B4:P4"/>
    <mergeCell ref="B20:I20"/>
    <mergeCell ref="B25:K25"/>
    <mergeCell ref="M25:O25"/>
    <mergeCell ref="B26:K26"/>
    <mergeCell ref="M26:O26"/>
  </mergeCells>
  <phoneticPr fontId="17" type="noConversion"/>
  <pageMargins left="0.7" right="0.7" top="0.75" bottom="0.75" header="0.3" footer="0.3"/>
  <pageSetup scale="36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showGridLines="0" workbookViewId="0">
      <selection activeCell="E38" sqref="E38"/>
    </sheetView>
  </sheetViews>
  <sheetFormatPr baseColWidth="10" defaultRowHeight="14.4" x14ac:dyDescent="0.3"/>
  <cols>
    <col min="1" max="1" width="20.5546875" bestFit="1" customWidth="1"/>
    <col min="2" max="2" width="24.33203125" customWidth="1"/>
    <col min="3" max="3" width="19.33203125" customWidth="1"/>
    <col min="4" max="4" width="20.6640625" customWidth="1"/>
    <col min="6" max="6" width="14.6640625" customWidth="1"/>
    <col min="8" max="8" width="16.33203125" customWidth="1"/>
    <col min="9" max="9" width="13" customWidth="1"/>
  </cols>
  <sheetData>
    <row r="1" spans="1:9" ht="15.6" x14ac:dyDescent="0.3">
      <c r="A1" s="10" t="s">
        <v>0</v>
      </c>
      <c r="B1" s="10" t="s">
        <v>3</v>
      </c>
      <c r="C1" s="10" t="s">
        <v>4</v>
      </c>
      <c r="D1" s="10" t="s">
        <v>5</v>
      </c>
      <c r="E1" s="10" t="s">
        <v>6</v>
      </c>
      <c r="F1" s="11" t="s">
        <v>7</v>
      </c>
      <c r="G1" s="11" t="s">
        <v>8</v>
      </c>
      <c r="H1" s="11" t="s">
        <v>9</v>
      </c>
      <c r="I1" s="10" t="s">
        <v>37</v>
      </c>
    </row>
    <row r="2" spans="1:9" ht="15.6" x14ac:dyDescent="0.3">
      <c r="A2" s="12" t="s">
        <v>45</v>
      </c>
      <c r="B2" s="16">
        <v>2043050151</v>
      </c>
      <c r="C2" s="13">
        <v>42930</v>
      </c>
      <c r="D2" s="13">
        <v>43000</v>
      </c>
      <c r="E2" s="14">
        <v>70</v>
      </c>
      <c r="F2" s="15">
        <v>1986298.7579166668</v>
      </c>
      <c r="G2" s="15">
        <v>377396.7640041667</v>
      </c>
      <c r="H2" s="15">
        <v>9931.4937895833336</v>
      </c>
      <c r="I2" s="15">
        <v>2373627.0157104172</v>
      </c>
    </row>
    <row r="3" spans="1:9" ht="15.6" x14ac:dyDescent="0.3">
      <c r="A3" s="12" t="s">
        <v>46</v>
      </c>
      <c r="B3" s="16">
        <v>980308947</v>
      </c>
      <c r="C3" s="13">
        <v>42930</v>
      </c>
      <c r="D3" s="13">
        <v>43000</v>
      </c>
      <c r="E3" s="14">
        <v>70</v>
      </c>
      <c r="F3" s="15">
        <v>953078.14291666669</v>
      </c>
      <c r="G3" s="15">
        <v>181084.84715416667</v>
      </c>
      <c r="H3" s="15">
        <v>4765.3907145833336</v>
      </c>
      <c r="I3" s="15">
        <v>1138928.3807854166</v>
      </c>
    </row>
    <row r="4" spans="1:9" ht="15.6" x14ac:dyDescent="0.3">
      <c r="A4" s="49" t="s">
        <v>47</v>
      </c>
      <c r="B4" s="54">
        <v>24366051</v>
      </c>
      <c r="C4" s="53">
        <v>42930</v>
      </c>
      <c r="D4" s="53">
        <v>43000</v>
      </c>
      <c r="E4" s="51">
        <v>70</v>
      </c>
      <c r="F4" s="52">
        <v>23689.216250000001</v>
      </c>
      <c r="G4" s="52">
        <v>4500.9510875000005</v>
      </c>
      <c r="H4" s="52">
        <v>118.44608125000001</v>
      </c>
      <c r="I4" s="52">
        <v>28308.613418750003</v>
      </c>
    </row>
    <row r="5" spans="1:9" ht="15.6" x14ac:dyDescent="0.3">
      <c r="A5" s="12" t="s">
        <v>48</v>
      </c>
      <c r="B5" s="16">
        <v>49507454</v>
      </c>
      <c r="C5" s="13">
        <v>42930</v>
      </c>
      <c r="D5" s="13">
        <v>43000</v>
      </c>
      <c r="E5" s="14">
        <v>70</v>
      </c>
      <c r="F5" s="15">
        <v>48132.24694444445</v>
      </c>
      <c r="G5" s="15">
        <v>9145.1269194444449</v>
      </c>
      <c r="H5" s="15">
        <v>240.66123472222225</v>
      </c>
      <c r="I5" s="15">
        <v>57518.035098611123</v>
      </c>
    </row>
    <row r="6" spans="1:9" ht="15.6" x14ac:dyDescent="0.3">
      <c r="A6" s="12" t="s">
        <v>49</v>
      </c>
      <c r="B6" s="16">
        <v>1048071</v>
      </c>
      <c r="C6" s="13">
        <v>42930</v>
      </c>
      <c r="D6" s="13">
        <v>43000</v>
      </c>
      <c r="E6" s="14">
        <v>70</v>
      </c>
      <c r="F6" s="15">
        <v>1018.9579166666667</v>
      </c>
      <c r="G6" s="15">
        <v>193.60200416666669</v>
      </c>
      <c r="H6" s="15">
        <v>5.0947895833333341</v>
      </c>
      <c r="I6" s="15">
        <v>1217.6547104166666</v>
      </c>
    </row>
    <row r="7" spans="1:9" ht="15.6" x14ac:dyDescent="0.3">
      <c r="A7" s="49" t="s">
        <v>50</v>
      </c>
      <c r="B7" s="54">
        <v>191958362</v>
      </c>
      <c r="C7" s="53">
        <v>42941</v>
      </c>
      <c r="D7" s="53">
        <v>43000</v>
      </c>
      <c r="E7" s="51">
        <v>59</v>
      </c>
      <c r="F7" s="52">
        <v>157299.21330555558</v>
      </c>
      <c r="G7" s="52">
        <v>29886.850528055558</v>
      </c>
      <c r="H7" s="52">
        <v>786.49606652777788</v>
      </c>
      <c r="I7" s="52">
        <v>187972.55990013893</v>
      </c>
    </row>
    <row r="8" spans="1:9" ht="15.6" x14ac:dyDescent="0.3">
      <c r="A8" s="57" t="s">
        <v>44</v>
      </c>
      <c r="B8" s="58">
        <v>3290239036</v>
      </c>
      <c r="C8" s="58"/>
      <c r="D8" s="58"/>
      <c r="E8" s="59"/>
      <c r="F8" s="60">
        <v>3169516.5352500002</v>
      </c>
      <c r="G8" s="60">
        <v>602208.14169750002</v>
      </c>
      <c r="H8" s="60">
        <v>15847.582676250002</v>
      </c>
      <c r="I8" s="60">
        <v>3787572.2596237506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5:D17"/>
  <sheetViews>
    <sheetView workbookViewId="0">
      <selection activeCell="E38" sqref="E38"/>
    </sheetView>
  </sheetViews>
  <sheetFormatPr baseColWidth="10" defaultRowHeight="14.4" x14ac:dyDescent="0.3"/>
  <cols>
    <col min="4" max="4" width="13.33203125" bestFit="1" customWidth="1"/>
  </cols>
  <sheetData>
    <row r="15" spans="4:4" x14ac:dyDescent="0.3">
      <c r="D15" s="46"/>
    </row>
    <row r="16" spans="4:4" x14ac:dyDescent="0.3">
      <c r="D16" s="46"/>
    </row>
    <row r="17" spans="4:4" x14ac:dyDescent="0.3">
      <c r="D17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F8A27-1050-481E-9B4A-8B4E91DF3ACF}">
  <sheetPr>
    <pageSetUpPr fitToPage="1"/>
  </sheetPr>
  <dimension ref="B4:S76"/>
  <sheetViews>
    <sheetView showGridLines="0" zoomScale="90" zoomScaleNormal="90" workbookViewId="0">
      <selection activeCell="A13" sqref="A13:XFD16"/>
    </sheetView>
  </sheetViews>
  <sheetFormatPr baseColWidth="10" defaultRowHeight="14.4" x14ac:dyDescent="0.3"/>
  <cols>
    <col min="1" max="1" width="3.5546875" customWidth="1"/>
    <col min="2" max="2" width="20.5546875" customWidth="1"/>
    <col min="3" max="3" width="12.6640625" customWidth="1"/>
    <col min="4" max="4" width="14.33203125" customWidth="1"/>
    <col min="5" max="5" width="24.109375" customWidth="1"/>
    <col min="6" max="6" width="18.6640625" customWidth="1"/>
    <col min="7" max="7" width="17.6640625" customWidth="1"/>
    <col min="8" max="8" width="19.44140625" customWidth="1"/>
    <col min="9" max="9" width="22.21875" bestFit="1" customWidth="1"/>
    <col min="10" max="10" width="22.6640625" customWidth="1"/>
    <col min="11" max="11" width="19" bestFit="1" customWidth="1"/>
    <col min="12" max="12" width="12.5546875" customWidth="1"/>
    <col min="13" max="13" width="21.5546875" bestFit="1" customWidth="1"/>
    <col min="14" max="14" width="16.33203125" style="1" customWidth="1"/>
    <col min="15" max="15" width="13.6640625" style="1" customWidth="1"/>
    <col min="16" max="16" width="17.6640625" style="1" bestFit="1" customWidth="1"/>
    <col min="17" max="17" width="21.21875" bestFit="1" customWidth="1"/>
    <col min="18" max="18" width="21.6640625" customWidth="1"/>
    <col min="19" max="19" width="16.44140625" customWidth="1"/>
  </cols>
  <sheetData>
    <row r="4" spans="2:19" ht="25.8" x14ac:dyDescent="0.5">
      <c r="B4" s="155" t="s">
        <v>143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7" spans="2:19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51</v>
      </c>
      <c r="I7" s="83" t="s">
        <v>3</v>
      </c>
      <c r="J7" s="83" t="s">
        <v>55</v>
      </c>
      <c r="K7" s="83" t="s">
        <v>5</v>
      </c>
      <c r="L7" s="83" t="s">
        <v>6</v>
      </c>
      <c r="M7" s="152" t="s">
        <v>7</v>
      </c>
      <c r="N7" s="152" t="s">
        <v>8</v>
      </c>
      <c r="O7" s="152" t="s">
        <v>9</v>
      </c>
      <c r="P7" s="83" t="s">
        <v>96</v>
      </c>
      <c r="Q7" s="83" t="s">
        <v>81</v>
      </c>
      <c r="R7" s="83" t="s">
        <v>142</v>
      </c>
      <c r="S7" s="105" t="s">
        <v>99</v>
      </c>
    </row>
    <row r="8" spans="2:19" ht="15.6" x14ac:dyDescent="0.3">
      <c r="B8" s="79" t="s">
        <v>135</v>
      </c>
      <c r="C8" s="136">
        <v>1</v>
      </c>
      <c r="D8" s="83" t="s">
        <v>61</v>
      </c>
      <c r="E8" s="63">
        <v>900042857</v>
      </c>
      <c r="F8" s="136">
        <v>1</v>
      </c>
      <c r="G8" s="134">
        <v>4</v>
      </c>
      <c r="H8" s="83" t="s">
        <v>52</v>
      </c>
      <c r="I8" s="137">
        <v>8631596921</v>
      </c>
      <c r="J8" s="138">
        <v>44637</v>
      </c>
      <c r="K8" s="133">
        <v>44705</v>
      </c>
      <c r="L8" s="139">
        <v>68</v>
      </c>
      <c r="M8" s="140">
        <v>8040391.6524383575</v>
      </c>
      <c r="N8" s="71">
        <v>1527674.4139632878</v>
      </c>
      <c r="O8" s="71">
        <v>40201.958262191787</v>
      </c>
      <c r="P8" s="140">
        <v>9608268.0246638376</v>
      </c>
      <c r="Q8" s="111"/>
      <c r="R8" s="111"/>
      <c r="S8" s="104" t="s">
        <v>98</v>
      </c>
    </row>
    <row r="9" spans="2:19" ht="15.6" x14ac:dyDescent="0.3">
      <c r="B9" s="127" t="s">
        <v>137</v>
      </c>
      <c r="C9" s="83">
        <v>2</v>
      </c>
      <c r="D9" s="63" t="s">
        <v>61</v>
      </c>
      <c r="E9" s="63">
        <v>900042857</v>
      </c>
      <c r="F9" s="83">
        <v>1</v>
      </c>
      <c r="G9" s="134">
        <v>4</v>
      </c>
      <c r="H9" s="83" t="s">
        <v>52</v>
      </c>
      <c r="I9" s="135">
        <v>24744285</v>
      </c>
      <c r="J9" s="146">
        <v>44636</v>
      </c>
      <c r="K9" s="146">
        <v>44705</v>
      </c>
      <c r="L9" s="131">
        <v>69</v>
      </c>
      <c r="M9" s="71">
        <v>836820</v>
      </c>
      <c r="N9" s="71">
        <v>158995.79999999999</v>
      </c>
      <c r="O9" s="71">
        <v>4184.1000000000004</v>
      </c>
      <c r="P9" s="111">
        <v>999999.9</v>
      </c>
      <c r="Q9" s="71"/>
      <c r="R9" s="111"/>
      <c r="S9" s="104" t="s">
        <v>98</v>
      </c>
    </row>
    <row r="10" spans="2:19" ht="15.6" x14ac:dyDescent="0.3">
      <c r="B10" s="127" t="s">
        <v>138</v>
      </c>
      <c r="C10" s="83">
        <v>2</v>
      </c>
      <c r="D10" s="63" t="s">
        <v>61</v>
      </c>
      <c r="E10" s="63">
        <v>900042857</v>
      </c>
      <c r="F10" s="142">
        <v>1</v>
      </c>
      <c r="G10" s="134">
        <v>4</v>
      </c>
      <c r="H10" s="83" t="s">
        <v>52</v>
      </c>
      <c r="I10" s="145">
        <v>2262503191</v>
      </c>
      <c r="J10" s="146">
        <v>44636</v>
      </c>
      <c r="K10" s="146">
        <v>44705</v>
      </c>
      <c r="L10" s="147">
        <v>69</v>
      </c>
      <c r="M10" s="148">
        <v>2138530.4134109588</v>
      </c>
      <c r="N10" s="148">
        <v>406320.77854808216</v>
      </c>
      <c r="O10" s="148">
        <v>10692.652067054794</v>
      </c>
      <c r="P10" s="148">
        <v>2555543.8440260962</v>
      </c>
      <c r="Q10" s="71"/>
      <c r="R10" s="111"/>
      <c r="S10" s="104"/>
    </row>
    <row r="11" spans="2:19" ht="15.6" x14ac:dyDescent="0.3">
      <c r="B11" s="127" t="s">
        <v>141</v>
      </c>
      <c r="C11" s="83"/>
      <c r="D11" s="83" t="s">
        <v>118</v>
      </c>
      <c r="E11" s="63">
        <v>900042857</v>
      </c>
      <c r="F11" s="142">
        <v>1</v>
      </c>
      <c r="G11" s="134">
        <v>4</v>
      </c>
      <c r="H11" s="83" t="s">
        <v>52</v>
      </c>
      <c r="I11" s="144">
        <v>520647248.38999999</v>
      </c>
      <c r="J11" s="109">
        <v>44627</v>
      </c>
      <c r="K11" s="53">
        <v>45013</v>
      </c>
      <c r="L11" s="111">
        <f>+Tabla15759[[#This Row],[Fecha Vencimiento]]-Tabla15759[[#This Row],[Fecha Emisión]]</f>
        <v>386</v>
      </c>
      <c r="M11" s="71">
        <v>2753011</v>
      </c>
      <c r="N11" s="71">
        <f>+Tabla15759[[#This Row],[COMISIÓN ]]*19%</f>
        <v>523072.09</v>
      </c>
      <c r="O11" s="71">
        <f>+Tabla15759[[#This Row],[COMISIÓN ]]*E16</f>
        <v>13765.055</v>
      </c>
      <c r="P11" s="111">
        <f>+SUM(Tabla15759[[#This Row],[COMISIÓN ]:[IMP TIMBRE ]])</f>
        <v>3289848.145</v>
      </c>
      <c r="Q11" s="71"/>
      <c r="R11" s="111"/>
      <c r="S11" s="104"/>
    </row>
    <row r="12" spans="2:19" ht="15.6" x14ac:dyDescent="0.3">
      <c r="B12" s="83"/>
      <c r="C12" s="57"/>
      <c r="D12" s="57"/>
      <c r="E12" s="83"/>
      <c r="F12" s="83"/>
      <c r="G12" s="83"/>
      <c r="H12" s="83"/>
      <c r="I12" s="83"/>
      <c r="J12" s="58"/>
      <c r="K12" s="58"/>
      <c r="L12" s="58"/>
      <c r="M12" s="59"/>
      <c r="N12" s="60"/>
      <c r="O12" s="60"/>
      <c r="P12" s="60"/>
      <c r="Q12" s="60"/>
      <c r="R12" s="102"/>
      <c r="S12" s="57"/>
    </row>
    <row r="13" spans="2:19" ht="21" hidden="1" x14ac:dyDescent="0.4">
      <c r="C13" s="3" t="s">
        <v>16</v>
      </c>
      <c r="D13" s="80"/>
      <c r="E13" s="4">
        <v>5.0000000000000001E-3</v>
      </c>
      <c r="F13" s="40"/>
      <c r="G13" s="40"/>
      <c r="H13" s="40"/>
    </row>
    <row r="14" spans="2:19" ht="21" hidden="1" x14ac:dyDescent="0.4">
      <c r="C14" s="5" t="s">
        <v>17</v>
      </c>
      <c r="D14" s="81"/>
      <c r="E14" s="6">
        <v>365</v>
      </c>
      <c r="F14" s="41"/>
      <c r="G14" s="41"/>
      <c r="H14" s="41"/>
    </row>
    <row r="15" spans="2:19" ht="21" hidden="1" x14ac:dyDescent="0.4">
      <c r="C15" s="5" t="s">
        <v>8</v>
      </c>
      <c r="D15" s="81"/>
      <c r="E15" s="7">
        <v>0.19</v>
      </c>
      <c r="F15" s="42"/>
      <c r="G15" s="42"/>
      <c r="H15" s="42"/>
    </row>
    <row r="16" spans="2:19" ht="21.6" hidden="1" thickBot="1" x14ac:dyDescent="0.45">
      <c r="C16" s="8" t="s">
        <v>18</v>
      </c>
      <c r="D16" s="82"/>
      <c r="E16" s="9">
        <v>5.0000000000000001E-3</v>
      </c>
      <c r="F16" s="43"/>
      <c r="G16" s="43"/>
      <c r="H16" s="43"/>
    </row>
    <row r="17" spans="2:19" ht="21" x14ac:dyDescent="0.4">
      <c r="C17" s="2"/>
      <c r="D17" s="2"/>
    </row>
    <row r="18" spans="2:19" ht="21.6" thickBot="1" x14ac:dyDescent="0.45">
      <c r="C18" s="2"/>
      <c r="D18" s="2"/>
      <c r="M18" s="107"/>
      <c r="R18" s="107"/>
      <c r="S18" s="107"/>
    </row>
    <row r="19" spans="2:19" ht="19.5" customHeight="1" thickBot="1" x14ac:dyDescent="0.4">
      <c r="B19" s="156" t="s">
        <v>144</v>
      </c>
      <c r="C19" s="157"/>
      <c r="D19" s="157"/>
      <c r="E19" s="157"/>
      <c r="F19" s="157"/>
      <c r="G19" s="157"/>
      <c r="H19" s="157"/>
      <c r="I19" s="157"/>
      <c r="J19" s="157"/>
      <c r="K19" s="103">
        <f>+Tabla15759[[#Totals],[COSTO A RECUPERAR]]</f>
        <v>0</v>
      </c>
      <c r="M19" s="129"/>
      <c r="P19"/>
      <c r="Q19" s="100"/>
      <c r="R19" s="107"/>
      <c r="S19" s="107"/>
    </row>
    <row r="20" spans="2:19" ht="21" x14ac:dyDescent="0.4">
      <c r="C20" s="2"/>
      <c r="D20" s="2"/>
      <c r="O20" s="46"/>
      <c r="R20" s="107"/>
      <c r="S20" s="107"/>
    </row>
    <row r="21" spans="2:19" ht="21" x14ac:dyDescent="0.4">
      <c r="B21" s="128"/>
      <c r="C21" s="2"/>
      <c r="D21" s="2"/>
    </row>
    <row r="22" spans="2:19" ht="21" customHeight="1" x14ac:dyDescent="0.4">
      <c r="C22" s="2"/>
      <c r="D22" s="2"/>
      <c r="M22" s="1"/>
      <c r="O22" s="106"/>
      <c r="Q22" s="1"/>
    </row>
    <row r="23" spans="2:19" ht="18.75" customHeight="1" x14ac:dyDescent="0.35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1"/>
      <c r="O23"/>
      <c r="Q23" s="1"/>
    </row>
    <row r="24" spans="2:19" ht="18" x14ac:dyDescent="0.35">
      <c r="B24" s="154" t="s">
        <v>38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66"/>
      <c r="N24" s="154" t="s">
        <v>39</v>
      </c>
      <c r="O24" s="154"/>
      <c r="P24" s="154"/>
    </row>
    <row r="25" spans="2:19" ht="18" x14ac:dyDescent="0.35">
      <c r="B25" s="154" t="s">
        <v>40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66"/>
      <c r="N25" s="154" t="s">
        <v>41</v>
      </c>
      <c r="O25" s="154"/>
      <c r="P25" s="154"/>
    </row>
    <row r="26" spans="2:19" ht="18" x14ac:dyDescent="0.35"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66"/>
      <c r="N26" s="132"/>
      <c r="O26" s="132"/>
      <c r="P26" s="132"/>
    </row>
    <row r="27" spans="2:19" ht="18" x14ac:dyDescent="0.35"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66"/>
      <c r="N27" s="132"/>
      <c r="O27" s="132"/>
      <c r="P27" s="132"/>
    </row>
    <row r="28" spans="2:19" ht="18" x14ac:dyDescent="0.35"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66"/>
      <c r="N28" s="132"/>
      <c r="O28" s="132"/>
      <c r="P28" s="132"/>
    </row>
    <row r="29" spans="2:19" ht="18" x14ac:dyDescent="0.35"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66"/>
      <c r="N29" s="132"/>
      <c r="O29" s="132"/>
      <c r="P29" s="132"/>
    </row>
    <row r="30" spans="2:19" ht="18" x14ac:dyDescent="0.3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66"/>
      <c r="N30" s="132"/>
      <c r="O30" s="132"/>
      <c r="P30" s="132"/>
    </row>
    <row r="31" spans="2:19" ht="18" x14ac:dyDescent="0.3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2:19" ht="18" x14ac:dyDescent="0.3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6" ht="18" x14ac:dyDescent="0.3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2:16" ht="18" x14ac:dyDescent="0.3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2:16" ht="18" x14ac:dyDescent="0.35">
      <c r="B35" s="154" t="s">
        <v>42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66"/>
      <c r="N35" s="154" t="s">
        <v>56</v>
      </c>
      <c r="O35" s="154"/>
      <c r="P35" s="154"/>
    </row>
    <row r="36" spans="2:16" ht="18" x14ac:dyDescent="0.35">
      <c r="B36" s="154" t="s">
        <v>43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66"/>
      <c r="N36" s="154" t="s">
        <v>43</v>
      </c>
      <c r="O36" s="154"/>
      <c r="P36" s="154"/>
    </row>
    <row r="37" spans="2:16" ht="18" x14ac:dyDescent="0.3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40" spans="2:16" x14ac:dyDescent="0.3">
      <c r="N40" s="62"/>
    </row>
    <row r="59" spans="10:10" x14ac:dyDescent="0.3">
      <c r="J59" s="72"/>
    </row>
    <row r="63" spans="10:10" x14ac:dyDescent="0.3">
      <c r="J63" s="46"/>
    </row>
    <row r="64" spans="10:10" x14ac:dyDescent="0.3">
      <c r="J64" s="46"/>
    </row>
    <row r="65" spans="2:17" x14ac:dyDescent="0.3">
      <c r="J65" s="46"/>
      <c r="Q65" s="56"/>
    </row>
    <row r="66" spans="2:17" x14ac:dyDescent="0.3">
      <c r="J66" s="46"/>
    </row>
    <row r="67" spans="2:17" x14ac:dyDescent="0.3">
      <c r="B67" s="84"/>
      <c r="J67" s="46"/>
    </row>
    <row r="68" spans="2:17" x14ac:dyDescent="0.3">
      <c r="J68" s="46"/>
    </row>
    <row r="69" spans="2:17" x14ac:dyDescent="0.3">
      <c r="J69" s="46"/>
    </row>
    <row r="70" spans="2:17" x14ac:dyDescent="0.3">
      <c r="J70" s="46"/>
    </row>
    <row r="71" spans="2:17" x14ac:dyDescent="0.3">
      <c r="J71" s="46"/>
    </row>
    <row r="72" spans="2:17" x14ac:dyDescent="0.3">
      <c r="J72" s="46"/>
    </row>
    <row r="73" spans="2:17" x14ac:dyDescent="0.3">
      <c r="J73" s="46"/>
    </row>
    <row r="74" spans="2:17" x14ac:dyDescent="0.3">
      <c r="J74" s="61"/>
    </row>
    <row r="75" spans="2:17" x14ac:dyDescent="0.3">
      <c r="J75" s="94"/>
    </row>
    <row r="76" spans="2:17" x14ac:dyDescent="0.3">
      <c r="J76" s="95"/>
    </row>
  </sheetData>
  <mergeCells count="10">
    <mergeCell ref="B35:L35"/>
    <mergeCell ref="N35:P35"/>
    <mergeCell ref="B36:L36"/>
    <mergeCell ref="N36:P36"/>
    <mergeCell ref="B4:Q4"/>
    <mergeCell ref="B19:J19"/>
    <mergeCell ref="B24:L24"/>
    <mergeCell ref="N24:P24"/>
    <mergeCell ref="B25:L25"/>
    <mergeCell ref="N25:P25"/>
  </mergeCells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3429-DDB5-4CA2-B618-EF84B7E89028}">
  <dimension ref="A1:K17"/>
  <sheetViews>
    <sheetView workbookViewId="0">
      <selection activeCell="I16" sqref="I16"/>
    </sheetView>
  </sheetViews>
  <sheetFormatPr baseColWidth="10" defaultRowHeight="14.4" x14ac:dyDescent="0.3"/>
  <cols>
    <col min="8" max="8" width="16.33203125" bestFit="1" customWidth="1"/>
    <col min="9" max="9" width="13.6640625" bestFit="1" customWidth="1"/>
    <col min="10" max="10" width="13.6640625" customWidth="1"/>
    <col min="11" max="11" width="12.6640625" bestFit="1" customWidth="1"/>
  </cols>
  <sheetData>
    <row r="1" spans="1:11" ht="15" thickBot="1" x14ac:dyDescent="0.35">
      <c r="A1" s="114"/>
      <c r="B1" s="115"/>
      <c r="C1" s="116" t="s">
        <v>122</v>
      </c>
      <c r="D1" s="116" t="s">
        <v>123</v>
      </c>
      <c r="E1" s="116" t="s">
        <v>124</v>
      </c>
      <c r="F1" s="116" t="s">
        <v>125</v>
      </c>
      <c r="G1" s="116" t="s">
        <v>126</v>
      </c>
      <c r="H1" s="116" t="s">
        <v>127</v>
      </c>
      <c r="I1" s="116" t="s">
        <v>128</v>
      </c>
      <c r="K1" s="116" t="s">
        <v>129</v>
      </c>
    </row>
    <row r="2" spans="1:11" ht="29.4" thickBot="1" x14ac:dyDescent="0.35">
      <c r="A2" s="117" t="s">
        <v>93</v>
      </c>
      <c r="B2" s="118" t="s">
        <v>130</v>
      </c>
      <c r="C2" s="119">
        <v>1</v>
      </c>
      <c r="D2" s="119">
        <v>900042857</v>
      </c>
      <c r="E2" s="119">
        <v>1</v>
      </c>
      <c r="F2" s="119">
        <v>7012127200350580</v>
      </c>
      <c r="G2" s="119">
        <v>11</v>
      </c>
      <c r="H2" s="123">
        <v>4052970907</v>
      </c>
      <c r="I2" s="123">
        <v>4776954</v>
      </c>
      <c r="J2">
        <v>4776953.6553189037</v>
      </c>
      <c r="K2" s="123">
        <v>4776954</v>
      </c>
    </row>
    <row r="3" spans="1:11" ht="29.4" thickBot="1" x14ac:dyDescent="0.35">
      <c r="A3" s="117" t="s">
        <v>93</v>
      </c>
      <c r="B3" s="118" t="s">
        <v>130</v>
      </c>
      <c r="C3" s="119">
        <v>1</v>
      </c>
      <c r="D3" s="119">
        <v>900042857</v>
      </c>
      <c r="E3" s="119">
        <v>1</v>
      </c>
      <c r="F3" s="119">
        <v>7012127200351380</v>
      </c>
      <c r="G3" s="119">
        <v>11</v>
      </c>
      <c r="H3" s="123">
        <v>419994519</v>
      </c>
      <c r="I3" s="123">
        <v>877803</v>
      </c>
      <c r="J3">
        <v>877802.78499999992</v>
      </c>
      <c r="K3" s="123">
        <v>877803</v>
      </c>
    </row>
    <row r="4" spans="1:11" ht="29.4" thickBot="1" x14ac:dyDescent="0.35">
      <c r="A4" s="117" t="s">
        <v>93</v>
      </c>
      <c r="B4" s="118" t="s">
        <v>130</v>
      </c>
      <c r="C4" s="119">
        <v>1</v>
      </c>
      <c r="D4" s="119">
        <v>900042857</v>
      </c>
      <c r="E4" s="119">
        <v>1</v>
      </c>
      <c r="F4" s="119">
        <v>7012127200349610</v>
      </c>
      <c r="G4" s="119">
        <v>11</v>
      </c>
      <c r="H4" s="123">
        <v>57386006</v>
      </c>
      <c r="I4" s="123">
        <v>877803</v>
      </c>
      <c r="J4">
        <v>877802.78499999992</v>
      </c>
      <c r="K4" s="123">
        <v>877803</v>
      </c>
    </row>
    <row r="5" spans="1:11" ht="29.4" thickBot="1" x14ac:dyDescent="0.35">
      <c r="A5" s="117" t="s">
        <v>93</v>
      </c>
      <c r="B5" s="118" t="s">
        <v>130</v>
      </c>
      <c r="C5" s="119">
        <v>1</v>
      </c>
      <c r="D5" s="119">
        <v>900042857</v>
      </c>
      <c r="E5" s="119">
        <v>1</v>
      </c>
      <c r="F5" s="119">
        <v>7012127200352550</v>
      </c>
      <c r="G5" s="119">
        <v>11</v>
      </c>
      <c r="H5" s="123">
        <v>586065769</v>
      </c>
      <c r="I5" s="123">
        <v>877803</v>
      </c>
      <c r="J5">
        <v>877802.78499999992</v>
      </c>
      <c r="K5" s="123">
        <v>877803</v>
      </c>
    </row>
    <row r="6" spans="1:11" ht="29.4" thickBot="1" x14ac:dyDescent="0.35">
      <c r="A6" s="117" t="s">
        <v>93</v>
      </c>
      <c r="B6" s="118" t="s">
        <v>130</v>
      </c>
      <c r="C6" s="119">
        <v>1</v>
      </c>
      <c r="D6" s="119">
        <v>900042857</v>
      </c>
      <c r="E6" s="119">
        <v>1</v>
      </c>
      <c r="F6" s="119">
        <v>7012127200352540</v>
      </c>
      <c r="G6" s="119">
        <v>11</v>
      </c>
      <c r="H6" s="123">
        <v>219970831</v>
      </c>
      <c r="I6" s="123">
        <v>877803</v>
      </c>
      <c r="J6">
        <v>877802.78499999992</v>
      </c>
      <c r="K6" s="123">
        <v>877803</v>
      </c>
    </row>
    <row r="7" spans="1:11" ht="29.4" thickBot="1" x14ac:dyDescent="0.35">
      <c r="A7" s="120" t="s">
        <v>94</v>
      </c>
      <c r="B7" s="121" t="s">
        <v>130</v>
      </c>
      <c r="C7" s="122">
        <v>2</v>
      </c>
      <c r="D7" s="122">
        <v>900042857</v>
      </c>
      <c r="E7" s="122">
        <v>1</v>
      </c>
      <c r="F7" s="122">
        <v>7012127200350710</v>
      </c>
      <c r="G7" s="122">
        <v>11</v>
      </c>
      <c r="H7" s="124">
        <v>7884177</v>
      </c>
      <c r="I7" s="124">
        <v>877803</v>
      </c>
      <c r="J7">
        <v>877802.78499999992</v>
      </c>
      <c r="K7" s="124">
        <v>0</v>
      </c>
    </row>
    <row r="8" spans="1:11" ht="29.4" thickBot="1" x14ac:dyDescent="0.35">
      <c r="A8" s="120" t="s">
        <v>94</v>
      </c>
      <c r="B8" s="121" t="s">
        <v>130</v>
      </c>
      <c r="C8" s="122">
        <v>2</v>
      </c>
      <c r="D8" s="122">
        <v>900042857</v>
      </c>
      <c r="E8" s="122">
        <v>1</v>
      </c>
      <c r="F8" s="122">
        <v>7012127200350720</v>
      </c>
      <c r="G8" s="122">
        <v>11</v>
      </c>
      <c r="H8" s="124">
        <v>1619632566</v>
      </c>
      <c r="I8" s="124">
        <v>1882435</v>
      </c>
      <c r="J8">
        <v>1882434.5898941096</v>
      </c>
      <c r="K8" s="124">
        <v>1517864</v>
      </c>
    </row>
    <row r="9" spans="1:11" ht="15" thickBot="1" x14ac:dyDescent="0.35">
      <c r="A9" s="120" t="s">
        <v>131</v>
      </c>
      <c r="B9" s="121" t="s">
        <v>58</v>
      </c>
      <c r="C9" s="122">
        <v>3</v>
      </c>
      <c r="D9" s="122">
        <v>800052640</v>
      </c>
      <c r="E9" s="122">
        <v>9</v>
      </c>
      <c r="F9" s="122">
        <v>7012127200350770</v>
      </c>
      <c r="G9" s="122">
        <v>11</v>
      </c>
      <c r="H9" s="124">
        <v>35816880</v>
      </c>
      <c r="I9" s="124">
        <v>877803</v>
      </c>
      <c r="J9">
        <v>877802.78499999992</v>
      </c>
      <c r="K9" s="124">
        <v>0</v>
      </c>
    </row>
    <row r="10" spans="1:11" ht="15" thickBot="1" x14ac:dyDescent="0.35">
      <c r="A10" s="120" t="s">
        <v>131</v>
      </c>
      <c r="B10" s="121" t="s">
        <v>15</v>
      </c>
      <c r="C10" s="122">
        <v>3</v>
      </c>
      <c r="D10" s="122">
        <v>890800128</v>
      </c>
      <c r="E10" s="122">
        <v>6</v>
      </c>
      <c r="F10" s="122">
        <v>7012127200350750</v>
      </c>
      <c r="G10" s="122">
        <v>11</v>
      </c>
      <c r="H10" s="124">
        <v>280341527</v>
      </c>
      <c r="I10" s="124">
        <v>877803</v>
      </c>
      <c r="J10">
        <v>877802.78499999992</v>
      </c>
      <c r="K10" s="124">
        <v>132484</v>
      </c>
    </row>
    <row r="11" spans="1:11" ht="29.4" thickBot="1" x14ac:dyDescent="0.35">
      <c r="A11" s="117" t="s">
        <v>131</v>
      </c>
      <c r="B11" s="118" t="s">
        <v>114</v>
      </c>
      <c r="C11" s="119">
        <v>3</v>
      </c>
      <c r="D11" s="119">
        <v>901380930</v>
      </c>
      <c r="E11" s="119">
        <v>2</v>
      </c>
      <c r="F11" s="119">
        <v>7012127200350780</v>
      </c>
      <c r="G11" s="119">
        <v>11</v>
      </c>
      <c r="H11" s="123">
        <v>18289911</v>
      </c>
      <c r="I11" s="123">
        <v>877803</v>
      </c>
      <c r="J11">
        <v>877802.78499999992</v>
      </c>
      <c r="K11" s="123">
        <v>0</v>
      </c>
    </row>
    <row r="12" spans="1:11" ht="15" thickBot="1" x14ac:dyDescent="0.35">
      <c r="A12" s="117" t="s">
        <v>131</v>
      </c>
      <c r="B12" s="118" t="s">
        <v>59</v>
      </c>
      <c r="C12" s="119">
        <v>3</v>
      </c>
      <c r="D12" s="119">
        <v>891200200</v>
      </c>
      <c r="E12" s="119">
        <v>8</v>
      </c>
      <c r="F12" s="119">
        <v>7012127200350730</v>
      </c>
      <c r="G12" s="119">
        <v>11</v>
      </c>
      <c r="H12" s="123">
        <v>3442917</v>
      </c>
      <c r="I12" s="123">
        <v>877803</v>
      </c>
      <c r="J12">
        <v>877802.78499999992</v>
      </c>
      <c r="K12" s="123">
        <v>0</v>
      </c>
    </row>
    <row r="13" spans="1:11" ht="15" thickBot="1" x14ac:dyDescent="0.35">
      <c r="A13" s="117" t="s">
        <v>131</v>
      </c>
      <c r="B13" s="118" t="s">
        <v>62</v>
      </c>
      <c r="C13" s="119">
        <v>3</v>
      </c>
      <c r="D13" s="119">
        <v>830037248</v>
      </c>
      <c r="E13" s="119">
        <v>0</v>
      </c>
      <c r="F13" s="119">
        <v>7012127200350760</v>
      </c>
      <c r="G13" s="119">
        <v>11</v>
      </c>
      <c r="H13" s="123">
        <v>9338900</v>
      </c>
      <c r="I13" s="123">
        <v>877803</v>
      </c>
      <c r="J13">
        <v>877802.78499999992</v>
      </c>
      <c r="K13" s="123">
        <v>0</v>
      </c>
    </row>
    <row r="14" spans="1:11" ht="29.4" thickBot="1" x14ac:dyDescent="0.35">
      <c r="A14" s="117" t="s">
        <v>131</v>
      </c>
      <c r="B14" s="118" t="s">
        <v>79</v>
      </c>
      <c r="C14" s="119">
        <v>3</v>
      </c>
      <c r="D14" s="119">
        <v>800249860</v>
      </c>
      <c r="E14" s="119">
        <v>1</v>
      </c>
      <c r="F14" s="119">
        <v>7012127200350740</v>
      </c>
      <c r="G14" s="119">
        <v>11</v>
      </c>
      <c r="H14" s="123">
        <v>1468756</v>
      </c>
      <c r="I14" s="123">
        <v>877803</v>
      </c>
      <c r="J14">
        <v>877802.78499999992</v>
      </c>
      <c r="K14" s="123">
        <v>0</v>
      </c>
    </row>
    <row r="15" spans="1:11" x14ac:dyDescent="0.3">
      <c r="H15" s="61">
        <f>SUM(H2:H14)</f>
        <v>7312603666</v>
      </c>
      <c r="I15" s="61">
        <f t="shared" ref="I15:K15" si="0">SUM(I2:I14)</f>
        <v>16315222</v>
      </c>
      <c r="J15">
        <f>SUM(J2:J14)</f>
        <v>16315218.880213015</v>
      </c>
      <c r="K15" s="61">
        <f t="shared" si="0"/>
        <v>9938514</v>
      </c>
    </row>
    <row r="16" spans="1:11" x14ac:dyDescent="0.3">
      <c r="H16" s="46">
        <v>7312603666</v>
      </c>
      <c r="I16" s="46">
        <v>13652902.828630136</v>
      </c>
      <c r="J16" s="46"/>
      <c r="K16" s="46">
        <v>9938514</v>
      </c>
    </row>
    <row r="17" spans="8:11" x14ac:dyDescent="0.3">
      <c r="H17" s="106">
        <f>+H15-H16</f>
        <v>0</v>
      </c>
      <c r="I17" s="106">
        <f>+I15-I16</f>
        <v>2662319.1713698637</v>
      </c>
      <c r="J17" s="106"/>
      <c r="K17" s="106">
        <f>+K15-K16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4469-8640-4409-8D07-C022D73F64EC}">
  <sheetPr>
    <pageSetUpPr fitToPage="1"/>
  </sheetPr>
  <dimension ref="B4:R88"/>
  <sheetViews>
    <sheetView showGridLines="0" topLeftCell="A4" zoomScale="90" zoomScaleNormal="90" workbookViewId="0">
      <pane xSplit="6" ySplit="4" topLeftCell="L9" activePane="bottomRight" state="frozen"/>
      <selection activeCell="A4" sqref="A4"/>
      <selection pane="topRight" activeCell="G4" sqref="G4"/>
      <selection pane="bottomLeft" activeCell="A8" sqref="A8"/>
      <selection pane="bottomRight" activeCell="B7" sqref="B7:C24 E7:F24 J7:Q24"/>
    </sheetView>
  </sheetViews>
  <sheetFormatPr baseColWidth="10" defaultRowHeight="14.4" x14ac:dyDescent="0.3"/>
  <cols>
    <col min="1" max="1" width="3.5546875" customWidth="1"/>
    <col min="2" max="2" width="20.5546875" bestFit="1" customWidth="1"/>
    <col min="3" max="3" width="12.6640625" customWidth="1"/>
    <col min="4" max="4" width="14.33203125" hidden="1" customWidth="1"/>
    <col min="5" max="5" width="24.109375" bestFit="1" customWidth="1"/>
    <col min="6" max="6" width="18.6640625" customWidth="1"/>
    <col min="7" max="7" width="17.6640625" hidden="1" customWidth="1"/>
    <col min="8" max="8" width="19.44140625" hidden="1" customWidth="1"/>
    <col min="9" max="9" width="12.6640625" hidden="1" customWidth="1"/>
    <col min="10" max="10" width="22.6640625" customWidth="1"/>
    <col min="11" max="11" width="16.109375" customWidth="1"/>
    <col min="12" max="12" width="19.5546875" customWidth="1"/>
    <col min="13" max="13" width="8.44140625" customWidth="1"/>
    <col min="14" max="14" width="16.33203125" style="1" customWidth="1"/>
    <col min="15" max="15" width="13.6640625" style="1" customWidth="1"/>
    <col min="16" max="16" width="13.33203125" style="1" customWidth="1"/>
    <col min="17" max="17" width="18.33203125" bestFit="1" customWidth="1"/>
    <col min="18" max="18" width="21.6640625" hidden="1" customWidth="1"/>
  </cols>
  <sheetData>
    <row r="4" spans="2:18" ht="25.8" x14ac:dyDescent="0.5">
      <c r="B4" s="155" t="s">
        <v>100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7" spans="2:18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96</v>
      </c>
      <c r="R7" s="83" t="s">
        <v>81</v>
      </c>
    </row>
    <row r="8" spans="2:18" ht="15.6" x14ac:dyDescent="0.3">
      <c r="B8" s="79" t="s">
        <v>101</v>
      </c>
      <c r="C8" s="83" t="s">
        <v>97</v>
      </c>
      <c r="D8" s="63">
        <v>1</v>
      </c>
      <c r="E8" s="83" t="s">
        <v>61</v>
      </c>
      <c r="F8" s="63">
        <v>900042857</v>
      </c>
      <c r="G8" s="83">
        <v>1</v>
      </c>
      <c r="H8" s="83">
        <v>11</v>
      </c>
      <c r="I8" s="63" t="s">
        <v>52</v>
      </c>
      <c r="J8" s="108">
        <v>4052970907</v>
      </c>
      <c r="K8" s="64">
        <v>44117</v>
      </c>
      <c r="L8" s="53">
        <v>44189</v>
      </c>
      <c r="M8" s="110">
        <f>+Tabla158[[#This Row],[Fecha Vencimiento]]-Tabla158[[#This Row],[Fecha Emisión]]</f>
        <v>72</v>
      </c>
      <c r="N8" s="71">
        <f>+(J8*$E$25)*(M8/$E$26)</f>
        <v>3997450.7575890408</v>
      </c>
      <c r="O8" s="71">
        <f t="shared" ref="O8:O22" si="0">+N8*$E$27</f>
        <v>759515.64394191781</v>
      </c>
      <c r="P8" s="71">
        <f t="shared" ref="P8:P22" si="1">+N8*$E$28</f>
        <v>19987.253787945203</v>
      </c>
      <c r="Q8" s="111">
        <f>+N8+O8+P8</f>
        <v>4776953.6553189037</v>
      </c>
      <c r="R8" s="111"/>
    </row>
    <row r="9" spans="2:18" ht="15.6" x14ac:dyDescent="0.3">
      <c r="B9" s="79" t="s">
        <v>117</v>
      </c>
      <c r="C9" s="83" t="s">
        <v>97</v>
      </c>
      <c r="D9" s="83">
        <v>1</v>
      </c>
      <c r="E9" s="83" t="s">
        <v>61</v>
      </c>
      <c r="F9" s="63">
        <v>900042857</v>
      </c>
      <c r="G9" s="83">
        <v>1</v>
      </c>
      <c r="H9" s="83">
        <v>10</v>
      </c>
      <c r="I9" s="83" t="s">
        <v>52</v>
      </c>
      <c r="J9" s="108">
        <v>419994519</v>
      </c>
      <c r="K9" s="109">
        <v>44123</v>
      </c>
      <c r="L9" s="53">
        <v>44160</v>
      </c>
      <c r="M9" s="110">
        <f>+Tabla158[[#This Row],[Fecha Vencimiento]]-Tabla158[[#This Row],[Fecha Emisión]]</f>
        <v>37</v>
      </c>
      <c r="N9" s="71">
        <v>734563</v>
      </c>
      <c r="O9" s="111">
        <f t="shared" si="0"/>
        <v>139566.97</v>
      </c>
      <c r="P9" s="111">
        <f t="shared" si="1"/>
        <v>3672.8150000000001</v>
      </c>
      <c r="Q9" s="111">
        <f>+N9+O9+P9</f>
        <v>877802.78499999992</v>
      </c>
      <c r="R9" s="111"/>
    </row>
    <row r="10" spans="2:18" ht="15.6" x14ac:dyDescent="0.3">
      <c r="B10" s="79" t="s">
        <v>102</v>
      </c>
      <c r="C10" s="83" t="s">
        <v>97</v>
      </c>
      <c r="D10" s="63">
        <v>1</v>
      </c>
      <c r="E10" s="83" t="s">
        <v>61</v>
      </c>
      <c r="F10" s="63">
        <v>900042857</v>
      </c>
      <c r="G10" s="83">
        <v>1</v>
      </c>
      <c r="H10" s="83">
        <v>10</v>
      </c>
      <c r="I10" s="63" t="s">
        <v>52</v>
      </c>
      <c r="J10" s="108">
        <v>57386006</v>
      </c>
      <c r="K10" s="109">
        <v>44109</v>
      </c>
      <c r="L10" s="53">
        <v>44160</v>
      </c>
      <c r="M10" s="110">
        <f>+Tabla158[[#This Row],[Fecha Vencimiento]]-Tabla158[[#This Row],[Fecha Emisión]]</f>
        <v>51</v>
      </c>
      <c r="N10" s="71">
        <v>734563</v>
      </c>
      <c r="O10" s="111">
        <f t="shared" si="0"/>
        <v>139566.97</v>
      </c>
      <c r="P10" s="111">
        <f t="shared" si="1"/>
        <v>3672.8150000000001</v>
      </c>
      <c r="Q10" s="111">
        <f>+N10+O10+P10</f>
        <v>877802.78499999992</v>
      </c>
      <c r="R10" s="111"/>
    </row>
    <row r="11" spans="2:18" ht="15.6" x14ac:dyDescent="0.3">
      <c r="B11" s="79" t="s">
        <v>120</v>
      </c>
      <c r="C11" s="83" t="s">
        <v>97</v>
      </c>
      <c r="D11" s="83">
        <v>1</v>
      </c>
      <c r="E11" s="83" t="s">
        <v>61</v>
      </c>
      <c r="F11" s="83">
        <v>900042857</v>
      </c>
      <c r="G11" s="83">
        <v>1</v>
      </c>
      <c r="H11" s="83">
        <v>11</v>
      </c>
      <c r="I11" s="83" t="s">
        <v>52</v>
      </c>
      <c r="J11" s="108">
        <v>586065769</v>
      </c>
      <c r="K11" s="109">
        <v>44130</v>
      </c>
      <c r="L11" s="53">
        <v>44189</v>
      </c>
      <c r="M11" s="110">
        <f>+Tabla158[[#This Row],[Fecha Vencimiento]]-Tabla158[[#This Row],[Fecha Emisión]]</f>
        <v>59</v>
      </c>
      <c r="N11" s="71">
        <v>734563</v>
      </c>
      <c r="O11" s="71">
        <v>139566.97</v>
      </c>
      <c r="P11" s="111">
        <v>3672.8150000000001</v>
      </c>
      <c r="Q11" s="111">
        <v>877802.78499999992</v>
      </c>
      <c r="R11" s="111"/>
    </row>
    <row r="12" spans="2:18" ht="15.6" x14ac:dyDescent="0.3">
      <c r="B12" s="79" t="s">
        <v>121</v>
      </c>
      <c r="C12" s="83" t="s">
        <v>97</v>
      </c>
      <c r="D12" s="83">
        <v>1</v>
      </c>
      <c r="E12" s="83" t="s">
        <v>61</v>
      </c>
      <c r="F12" s="83">
        <v>900042857</v>
      </c>
      <c r="G12" s="83">
        <v>1</v>
      </c>
      <c r="H12" s="83">
        <v>10</v>
      </c>
      <c r="I12" s="83" t="s">
        <v>52</v>
      </c>
      <c r="J12" s="108">
        <v>219970831</v>
      </c>
      <c r="K12" s="109">
        <v>44130</v>
      </c>
      <c r="L12" s="53">
        <v>44160</v>
      </c>
      <c r="M12" s="110">
        <v>30</v>
      </c>
      <c r="N12" s="111">
        <v>734563</v>
      </c>
      <c r="O12" s="111">
        <v>139566.97</v>
      </c>
      <c r="P12" s="111">
        <v>3672.8150000000001</v>
      </c>
      <c r="Q12" s="111">
        <v>877802.78499999992</v>
      </c>
      <c r="R12" s="111"/>
    </row>
    <row r="13" spans="2:18" ht="15.6" x14ac:dyDescent="0.3">
      <c r="B13" s="79" t="s">
        <v>103</v>
      </c>
      <c r="C13" s="63" t="s">
        <v>60</v>
      </c>
      <c r="D13" s="63">
        <v>2</v>
      </c>
      <c r="E13" s="63" t="s">
        <v>61</v>
      </c>
      <c r="F13" s="63">
        <v>900042857</v>
      </c>
      <c r="G13" s="63">
        <v>1</v>
      </c>
      <c r="H13" s="83">
        <v>11</v>
      </c>
      <c r="I13" s="63" t="s">
        <v>52</v>
      </c>
      <c r="J13" s="69">
        <v>7884177</v>
      </c>
      <c r="K13" s="64">
        <v>44118</v>
      </c>
      <c r="L13" s="53">
        <v>44189</v>
      </c>
      <c r="M13" s="70">
        <f>+Tabla158[[#This Row],[Fecha Vencimiento]]-Tabla158[[#This Row],[Fecha Emisión]]</f>
        <v>71</v>
      </c>
      <c r="N13" s="71">
        <v>734563</v>
      </c>
      <c r="O13" s="71">
        <f t="shared" si="0"/>
        <v>139566.97</v>
      </c>
      <c r="P13" s="71">
        <f t="shared" si="1"/>
        <v>3672.8150000000001</v>
      </c>
      <c r="Q13" s="71">
        <f t="shared" ref="Q13:Q22" si="2">+N13+O13+P13</f>
        <v>877802.78499999992</v>
      </c>
      <c r="R13" s="112"/>
    </row>
    <row r="14" spans="2:18" ht="15.6" x14ac:dyDescent="0.3">
      <c r="B14" s="79" t="s">
        <v>104</v>
      </c>
      <c r="C14" s="63" t="s">
        <v>60</v>
      </c>
      <c r="D14" s="63">
        <v>3</v>
      </c>
      <c r="E14" s="63" t="s">
        <v>61</v>
      </c>
      <c r="F14" s="63">
        <v>900042857</v>
      </c>
      <c r="G14" s="63">
        <v>1</v>
      </c>
      <c r="H14" s="83">
        <v>11</v>
      </c>
      <c r="I14" s="63" t="s">
        <v>52</v>
      </c>
      <c r="J14" s="125">
        <v>1619632566</v>
      </c>
      <c r="K14" s="64">
        <v>44118</v>
      </c>
      <c r="L14" s="53">
        <v>44189</v>
      </c>
      <c r="M14" s="70">
        <f>+Tabla158[[#This Row],[Fecha Vencimiento]]-Tabla158[[#This Row],[Fecha Emisión]]</f>
        <v>71</v>
      </c>
      <c r="N14" s="71">
        <v>734563</v>
      </c>
      <c r="O14" s="71">
        <f t="shared" si="0"/>
        <v>139566.97</v>
      </c>
      <c r="P14" s="71">
        <f t="shared" si="1"/>
        <v>3672.8150000000001</v>
      </c>
      <c r="Q14" s="71">
        <f t="shared" si="2"/>
        <v>877802.78499999992</v>
      </c>
      <c r="R14" s="71">
        <v>0</v>
      </c>
    </row>
    <row r="15" spans="2:18" ht="15.6" x14ac:dyDescent="0.3">
      <c r="B15" s="79" t="s">
        <v>111</v>
      </c>
      <c r="C15" s="50" t="s">
        <v>57</v>
      </c>
      <c r="D15" s="50">
        <v>3</v>
      </c>
      <c r="E15" s="50" t="s">
        <v>58</v>
      </c>
      <c r="F15" s="50">
        <v>800052640</v>
      </c>
      <c r="G15" s="50">
        <v>9</v>
      </c>
      <c r="H15" s="83">
        <v>11</v>
      </c>
      <c r="I15" s="63" t="s">
        <v>52</v>
      </c>
      <c r="J15" s="68">
        <v>35816880</v>
      </c>
      <c r="K15" s="64">
        <v>44118</v>
      </c>
      <c r="L15" s="53">
        <v>44189</v>
      </c>
      <c r="M15" s="51">
        <f>+Tabla158[[#This Row],[Fecha Vencimiento]]-Tabla158[[#This Row],[Fecha Emisión]]</f>
        <v>71</v>
      </c>
      <c r="N15" s="71">
        <v>734563</v>
      </c>
      <c r="O15" s="71">
        <f t="shared" si="0"/>
        <v>139566.97</v>
      </c>
      <c r="P15" s="71">
        <f t="shared" si="1"/>
        <v>3672.8150000000001</v>
      </c>
      <c r="Q15" s="71">
        <f t="shared" si="2"/>
        <v>877802.78499999992</v>
      </c>
      <c r="R15" s="71">
        <v>0</v>
      </c>
    </row>
    <row r="16" spans="2:18" ht="15.6" x14ac:dyDescent="0.3">
      <c r="B16" s="79" t="s">
        <v>109</v>
      </c>
      <c r="C16" s="63" t="s">
        <v>57</v>
      </c>
      <c r="D16" s="63">
        <v>3</v>
      </c>
      <c r="E16" s="63" t="s">
        <v>15</v>
      </c>
      <c r="F16" s="63">
        <v>890800128</v>
      </c>
      <c r="G16" s="63">
        <v>6</v>
      </c>
      <c r="H16" s="83">
        <v>11</v>
      </c>
      <c r="I16" s="63" t="s">
        <v>52</v>
      </c>
      <c r="J16" s="69">
        <v>280341527</v>
      </c>
      <c r="K16" s="64">
        <v>44118</v>
      </c>
      <c r="L16" s="53">
        <v>44189</v>
      </c>
      <c r="M16" s="70">
        <f>+Tabla158[[#This Row],[Fecha Vencimiento]]-Tabla158[[#This Row],[Fecha Emisión]]</f>
        <v>71</v>
      </c>
      <c r="N16" s="71">
        <v>734563</v>
      </c>
      <c r="O16" s="71">
        <f t="shared" si="0"/>
        <v>139566.97</v>
      </c>
      <c r="P16" s="71">
        <f t="shared" si="1"/>
        <v>3672.8150000000001</v>
      </c>
      <c r="Q16" s="71">
        <f t="shared" si="2"/>
        <v>877802.78499999992</v>
      </c>
      <c r="R16" s="112"/>
    </row>
    <row r="17" spans="2:18" ht="15.6" x14ac:dyDescent="0.3">
      <c r="B17" s="79" t="s">
        <v>105</v>
      </c>
      <c r="C17" s="63" t="s">
        <v>57</v>
      </c>
      <c r="D17" s="63">
        <v>3</v>
      </c>
      <c r="E17" s="50" t="s">
        <v>114</v>
      </c>
      <c r="F17" s="63">
        <v>901380930</v>
      </c>
      <c r="G17" s="63">
        <v>2</v>
      </c>
      <c r="H17" s="83">
        <v>11</v>
      </c>
      <c r="I17" s="63" t="s">
        <v>52</v>
      </c>
      <c r="J17" s="69">
        <v>18289911</v>
      </c>
      <c r="K17" s="64">
        <v>44118</v>
      </c>
      <c r="L17" s="53">
        <v>44189</v>
      </c>
      <c r="M17" s="70">
        <f>+Tabla158[[#This Row],[Fecha Vencimiento]]-Tabla158[[#This Row],[Fecha Emisión]]</f>
        <v>71</v>
      </c>
      <c r="N17" s="71">
        <v>734563</v>
      </c>
      <c r="O17" s="71">
        <f t="shared" si="0"/>
        <v>139566.97</v>
      </c>
      <c r="P17" s="71">
        <f t="shared" si="1"/>
        <v>3672.8150000000001</v>
      </c>
      <c r="Q17" s="71">
        <f t="shared" si="2"/>
        <v>877802.78499999992</v>
      </c>
      <c r="R17" s="71">
        <v>0</v>
      </c>
    </row>
    <row r="18" spans="2:18" ht="15.6" x14ac:dyDescent="0.3">
      <c r="B18" s="79" t="s">
        <v>107</v>
      </c>
      <c r="C18" s="63" t="s">
        <v>57</v>
      </c>
      <c r="D18" s="63">
        <v>3</v>
      </c>
      <c r="E18" s="63" t="s">
        <v>59</v>
      </c>
      <c r="F18" s="63">
        <v>891200200</v>
      </c>
      <c r="G18" s="63">
        <v>8</v>
      </c>
      <c r="H18" s="83">
        <v>11</v>
      </c>
      <c r="I18" s="63" t="s">
        <v>52</v>
      </c>
      <c r="J18" s="69">
        <v>3442917</v>
      </c>
      <c r="K18" s="64">
        <v>44118</v>
      </c>
      <c r="L18" s="53">
        <v>44189</v>
      </c>
      <c r="M18" s="70">
        <f>+Tabla158[[#This Row],[Fecha Vencimiento]]-Tabla158[[#This Row],[Fecha Emisión]]</f>
        <v>71</v>
      </c>
      <c r="N18" s="71">
        <v>734563</v>
      </c>
      <c r="O18" s="71">
        <f t="shared" si="0"/>
        <v>139566.97</v>
      </c>
      <c r="P18" s="71">
        <f t="shared" si="1"/>
        <v>3672.8150000000001</v>
      </c>
      <c r="Q18" s="71">
        <f t="shared" si="2"/>
        <v>877802.78499999992</v>
      </c>
      <c r="R18" s="71">
        <v>0</v>
      </c>
    </row>
    <row r="19" spans="2:18" ht="15.6" x14ac:dyDescent="0.3">
      <c r="B19" s="79" t="s">
        <v>110</v>
      </c>
      <c r="C19" s="63" t="s">
        <v>57</v>
      </c>
      <c r="D19" s="63">
        <v>3</v>
      </c>
      <c r="E19" s="63" t="s">
        <v>62</v>
      </c>
      <c r="F19" s="63">
        <v>830037248</v>
      </c>
      <c r="G19" s="63">
        <v>0</v>
      </c>
      <c r="H19" s="83">
        <v>11</v>
      </c>
      <c r="I19" s="63" t="s">
        <v>52</v>
      </c>
      <c r="J19" s="69">
        <v>9338900</v>
      </c>
      <c r="K19" s="64">
        <v>44118</v>
      </c>
      <c r="L19" s="53">
        <v>44189</v>
      </c>
      <c r="M19" s="70">
        <f>+Tabla158[[#This Row],[Fecha Vencimiento]]-Tabla158[[#This Row],[Fecha Emisión]]</f>
        <v>71</v>
      </c>
      <c r="N19" s="71">
        <v>734563</v>
      </c>
      <c r="O19" s="71">
        <f t="shared" si="0"/>
        <v>139566.97</v>
      </c>
      <c r="P19" s="71">
        <f t="shared" si="1"/>
        <v>3672.8150000000001</v>
      </c>
      <c r="Q19" s="71">
        <f t="shared" si="2"/>
        <v>877802.78499999992</v>
      </c>
      <c r="R19" s="71">
        <v>0</v>
      </c>
    </row>
    <row r="20" spans="2:18" ht="15.6" x14ac:dyDescent="0.3">
      <c r="B20" s="79" t="s">
        <v>108</v>
      </c>
      <c r="C20" s="63" t="s">
        <v>57</v>
      </c>
      <c r="D20" s="63">
        <v>3</v>
      </c>
      <c r="E20" s="83" t="s">
        <v>79</v>
      </c>
      <c r="F20" s="63">
        <v>800249860</v>
      </c>
      <c r="G20" s="63">
        <v>1</v>
      </c>
      <c r="H20" s="83">
        <v>11</v>
      </c>
      <c r="I20" s="63" t="s">
        <v>52</v>
      </c>
      <c r="J20" s="69">
        <v>1468756</v>
      </c>
      <c r="K20" s="64">
        <v>44118</v>
      </c>
      <c r="L20" s="53">
        <v>44189</v>
      </c>
      <c r="M20" s="70">
        <f>+Tabla158[[#This Row],[Fecha Vencimiento]]-Tabla158[[#This Row],[Fecha Emisión]]</f>
        <v>71</v>
      </c>
      <c r="N20" s="71">
        <v>734563</v>
      </c>
      <c r="O20" s="71">
        <f t="shared" si="0"/>
        <v>139566.97</v>
      </c>
      <c r="P20" s="71">
        <f t="shared" si="1"/>
        <v>3672.8150000000001</v>
      </c>
      <c r="Q20" s="71">
        <f t="shared" si="2"/>
        <v>877802.78499999992</v>
      </c>
      <c r="R20" s="71">
        <v>0</v>
      </c>
    </row>
    <row r="21" spans="2:18" ht="15.6" x14ac:dyDescent="0.3">
      <c r="B21" s="79" t="s">
        <v>119</v>
      </c>
      <c r="C21" s="83" t="s">
        <v>115</v>
      </c>
      <c r="D21" s="83" t="s">
        <v>116</v>
      </c>
      <c r="E21" s="63" t="s">
        <v>61</v>
      </c>
      <c r="F21" s="63">
        <v>900042857</v>
      </c>
      <c r="G21" s="63">
        <v>1</v>
      </c>
      <c r="H21" s="83"/>
      <c r="I21" s="83" t="s">
        <v>52</v>
      </c>
      <c r="J21" s="108">
        <v>21840000</v>
      </c>
      <c r="K21" s="109">
        <v>44110</v>
      </c>
      <c r="L21" s="53">
        <v>44281</v>
      </c>
      <c r="M21" s="110">
        <f>+Tabla158[[#This Row],[Fecha Vencimiento]]-Tabla158[[#This Row],[Fecha Emisión]]</f>
        <v>171</v>
      </c>
      <c r="N21" s="71">
        <v>734563</v>
      </c>
      <c r="O21" s="71">
        <f t="shared" si="0"/>
        <v>139566.97</v>
      </c>
      <c r="P21" s="71">
        <f t="shared" si="1"/>
        <v>3672.8150000000001</v>
      </c>
      <c r="Q21" s="71">
        <f t="shared" si="2"/>
        <v>877802.78499999992</v>
      </c>
      <c r="R21" s="111"/>
    </row>
    <row r="22" spans="2:18" ht="15.6" x14ac:dyDescent="0.3">
      <c r="B22" s="79" t="s">
        <v>113</v>
      </c>
      <c r="C22" s="83" t="s">
        <v>57</v>
      </c>
      <c r="D22" s="83">
        <v>3</v>
      </c>
      <c r="E22" s="50" t="s">
        <v>106</v>
      </c>
      <c r="F22" s="63">
        <v>901380930</v>
      </c>
      <c r="G22" s="63">
        <v>2</v>
      </c>
      <c r="H22" s="83">
        <v>11</v>
      </c>
      <c r="I22" s="83" t="s">
        <v>52</v>
      </c>
      <c r="J22" s="108">
        <v>18289911</v>
      </c>
      <c r="K22" s="109">
        <v>44118</v>
      </c>
      <c r="L22" s="53">
        <v>44189</v>
      </c>
      <c r="M22" s="110">
        <f>+Tabla158[[#This Row],[Fecha Vencimiento]]-Tabla158[[#This Row],[Fecha Emisión]]</f>
        <v>71</v>
      </c>
      <c r="N22" s="71">
        <v>734563</v>
      </c>
      <c r="O22" s="71">
        <f t="shared" si="0"/>
        <v>139566.97</v>
      </c>
      <c r="P22" s="71">
        <f t="shared" si="1"/>
        <v>3672.8150000000001</v>
      </c>
      <c r="Q22" s="71">
        <f t="shared" si="2"/>
        <v>877802.78499999992</v>
      </c>
      <c r="R22" s="111"/>
    </row>
    <row r="23" spans="2:18" ht="15.6" x14ac:dyDescent="0.3">
      <c r="B23" s="79" t="s">
        <v>132</v>
      </c>
      <c r="C23" s="83" t="s">
        <v>118</v>
      </c>
      <c r="D23" s="83" t="s">
        <v>116</v>
      </c>
      <c r="E23" s="63" t="s">
        <v>61</v>
      </c>
      <c r="F23" s="63">
        <v>900042857</v>
      </c>
      <c r="G23" s="63">
        <v>1</v>
      </c>
      <c r="H23" s="83"/>
      <c r="I23" s="83" t="s">
        <v>52</v>
      </c>
      <c r="J23" s="108">
        <v>1895953394</v>
      </c>
      <c r="K23" s="109">
        <v>44130</v>
      </c>
      <c r="L23" s="53">
        <v>44533</v>
      </c>
      <c r="M23" s="110">
        <f>+Tabla158[[#This Row],[Fecha Vencimiento]]-Tabla158[[#This Row],[Fecha Emisión]]</f>
        <v>403</v>
      </c>
      <c r="N23" s="111">
        <f>+(J23*$E$25)*(M23/$E$26)</f>
        <v>10466701.613452056</v>
      </c>
      <c r="O23" s="111">
        <f t="shared" ref="O23" si="3">+N23*$E$27</f>
        <v>1988673.3065558907</v>
      </c>
      <c r="P23" s="111">
        <f t="shared" ref="P23" si="4">+N23*$E$28</f>
        <v>52333.508067260285</v>
      </c>
      <c r="Q23" s="111">
        <f>+N23+O23+P23</f>
        <v>12507708.428075207</v>
      </c>
      <c r="R23" s="111"/>
    </row>
    <row r="24" spans="2:18" ht="15.6" x14ac:dyDescent="0.3">
      <c r="B24" s="57" t="s">
        <v>44</v>
      </c>
      <c r="C24" s="57"/>
      <c r="D24" s="57"/>
      <c r="E24" s="83"/>
      <c r="F24" s="83"/>
      <c r="G24" s="83"/>
      <c r="H24" s="83"/>
      <c r="I24" s="83"/>
      <c r="J24" s="58">
        <f>+SUM(J8:J23)</f>
        <v>9248686971</v>
      </c>
      <c r="K24" s="58"/>
      <c r="L24" s="58"/>
      <c r="M24" s="59"/>
      <c r="N24" s="60">
        <f>+SUM(N8:N23)</f>
        <v>24748034.371041097</v>
      </c>
      <c r="O24" s="60">
        <f>+SUM(O8:O23)</f>
        <v>4702126.5304978089</v>
      </c>
      <c r="P24" s="60">
        <f>+SUM(P8:P23)</f>
        <v>123740.1718552055</v>
      </c>
      <c r="Q24" s="60">
        <f>+SUM(Q8:Q23)</f>
        <v>29573901.073394112</v>
      </c>
      <c r="R24" s="102">
        <f>SUBTOTAL(109,R8:R23)</f>
        <v>0</v>
      </c>
    </row>
    <row r="25" spans="2:18" ht="21" hidden="1" x14ac:dyDescent="0.4">
      <c r="C25" s="3" t="s">
        <v>16</v>
      </c>
      <c r="D25" s="80"/>
      <c r="E25" s="4">
        <v>5.0000000000000001E-3</v>
      </c>
      <c r="F25" s="40"/>
      <c r="G25" s="40"/>
      <c r="H25" s="40"/>
    </row>
    <row r="26" spans="2:18" ht="21" hidden="1" x14ac:dyDescent="0.4">
      <c r="C26" s="5" t="s">
        <v>17</v>
      </c>
      <c r="D26" s="81"/>
      <c r="E26" s="6">
        <v>365</v>
      </c>
      <c r="F26" s="41"/>
      <c r="G26" s="41"/>
      <c r="H26" s="41"/>
    </row>
    <row r="27" spans="2:18" ht="21" hidden="1" x14ac:dyDescent="0.4">
      <c r="C27" s="5" t="s">
        <v>8</v>
      </c>
      <c r="D27" s="81"/>
      <c r="E27" s="7">
        <v>0.19</v>
      </c>
      <c r="F27" s="42"/>
      <c r="G27" s="42"/>
      <c r="H27" s="42"/>
    </row>
    <row r="28" spans="2:18" ht="21.6" hidden="1" thickBot="1" x14ac:dyDescent="0.45">
      <c r="C28" s="8" t="s">
        <v>18</v>
      </c>
      <c r="D28" s="82"/>
      <c r="E28" s="9">
        <v>5.0000000000000001E-3</v>
      </c>
      <c r="F28" s="43"/>
      <c r="G28" s="43"/>
      <c r="H28" s="43"/>
    </row>
    <row r="29" spans="2:18" ht="21" x14ac:dyDescent="0.4">
      <c r="C29" s="2"/>
      <c r="D29" s="2"/>
    </row>
    <row r="30" spans="2:18" ht="21.6" thickBot="1" x14ac:dyDescent="0.45">
      <c r="C30" s="2"/>
      <c r="D30" s="2"/>
      <c r="R30" s="107"/>
    </row>
    <row r="31" spans="2:18" ht="19.5" customHeight="1" thickBot="1" x14ac:dyDescent="0.4">
      <c r="B31" s="156" t="s">
        <v>112</v>
      </c>
      <c r="C31" s="157"/>
      <c r="D31" s="157"/>
      <c r="E31" s="157"/>
      <c r="F31" s="157"/>
      <c r="G31" s="157"/>
      <c r="H31" s="157"/>
      <c r="I31" s="157"/>
      <c r="J31" s="157"/>
      <c r="K31" s="103">
        <f>+Tabla158[[#Totals],[COMISION TOTAL]]</f>
        <v>29573901.073394112</v>
      </c>
      <c r="M31" s="1"/>
      <c r="P31"/>
      <c r="Q31" s="100"/>
      <c r="R31" s="107"/>
    </row>
    <row r="32" spans="2:18" ht="21" x14ac:dyDescent="0.4">
      <c r="C32" s="2"/>
      <c r="D32" s="2"/>
      <c r="O32" s="46"/>
      <c r="R32" s="107"/>
    </row>
    <row r="33" spans="2:17" ht="21" x14ac:dyDescent="0.4">
      <c r="C33" s="2"/>
      <c r="D33" s="2"/>
    </row>
    <row r="34" spans="2:17" ht="21" customHeight="1" x14ac:dyDescent="0.4">
      <c r="C34" s="2"/>
      <c r="D34" s="2"/>
      <c r="M34" s="1"/>
      <c r="O34" s="106"/>
      <c r="Q34" s="1"/>
    </row>
    <row r="35" spans="2:17" ht="18.75" customHeight="1" x14ac:dyDescent="0.3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1"/>
      <c r="O35"/>
      <c r="Q35" s="1"/>
    </row>
    <row r="36" spans="2:17" ht="18" x14ac:dyDescent="0.35">
      <c r="B36" s="154" t="s">
        <v>38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66"/>
      <c r="N36" s="154" t="s">
        <v>39</v>
      </c>
      <c r="O36" s="154"/>
      <c r="P36" s="154"/>
    </row>
    <row r="37" spans="2:17" ht="18" x14ac:dyDescent="0.35">
      <c r="B37" s="154" t="s">
        <v>40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66"/>
      <c r="N37" s="154" t="s">
        <v>41</v>
      </c>
      <c r="O37" s="154"/>
      <c r="P37" s="154"/>
    </row>
    <row r="38" spans="2:17" ht="18" x14ac:dyDescent="0.35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66"/>
      <c r="N38" s="113"/>
      <c r="O38" s="113"/>
      <c r="P38" s="113"/>
    </row>
    <row r="39" spans="2:17" ht="18" x14ac:dyDescent="0.35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66"/>
      <c r="N39" s="113"/>
      <c r="O39" s="113"/>
      <c r="P39" s="113"/>
    </row>
    <row r="40" spans="2:17" ht="18" x14ac:dyDescent="0.35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66"/>
      <c r="N40" s="113"/>
      <c r="O40" s="113"/>
      <c r="P40" s="113"/>
    </row>
    <row r="41" spans="2:17" ht="18" x14ac:dyDescent="0.35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66"/>
      <c r="N41" s="113"/>
      <c r="O41" s="113"/>
      <c r="P41" s="113"/>
    </row>
    <row r="42" spans="2:17" ht="18" x14ac:dyDescent="0.35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66"/>
      <c r="N42" s="113"/>
      <c r="O42" s="113"/>
      <c r="P42" s="113"/>
    </row>
    <row r="43" spans="2:17" ht="18" x14ac:dyDescent="0.3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2:17" ht="18" x14ac:dyDescent="0.3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2:17" ht="18" x14ac:dyDescent="0.3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2:17" ht="18" x14ac:dyDescent="0.3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2:17" ht="18" x14ac:dyDescent="0.35">
      <c r="B47" s="154" t="s">
        <v>42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66"/>
      <c r="N47" s="154" t="s">
        <v>56</v>
      </c>
      <c r="O47" s="154"/>
      <c r="P47" s="154"/>
    </row>
    <row r="48" spans="2:17" ht="18" x14ac:dyDescent="0.35">
      <c r="B48" s="154" t="s">
        <v>43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66"/>
      <c r="N48" s="154" t="s">
        <v>43</v>
      </c>
      <c r="O48" s="154"/>
      <c r="P48" s="154"/>
    </row>
    <row r="49" spans="2:18" ht="18" x14ac:dyDescent="0.3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2" spans="2:18" s="1" customFormat="1" x14ac:dyDescent="0.3">
      <c r="B52"/>
      <c r="C52"/>
      <c r="D52"/>
      <c r="E52"/>
      <c r="F52"/>
      <c r="G52"/>
      <c r="H52"/>
      <c r="I52"/>
      <c r="J52"/>
      <c r="K52"/>
      <c r="L52"/>
      <c r="M52"/>
      <c r="N52" s="62"/>
      <c r="Q52"/>
      <c r="R52"/>
    </row>
    <row r="71" spans="2:17" x14ac:dyDescent="0.3">
      <c r="J71" s="72"/>
    </row>
    <row r="75" spans="2:17" x14ac:dyDescent="0.3">
      <c r="J75" s="46"/>
    </row>
    <row r="76" spans="2:17" x14ac:dyDescent="0.3">
      <c r="J76" s="46"/>
    </row>
    <row r="77" spans="2:17" x14ac:dyDescent="0.3">
      <c r="J77" s="46"/>
      <c r="Q77" s="56"/>
    </row>
    <row r="78" spans="2:17" x14ac:dyDescent="0.3">
      <c r="J78" s="46"/>
    </row>
    <row r="79" spans="2:17" x14ac:dyDescent="0.3">
      <c r="B79" s="84"/>
      <c r="J79" s="46"/>
    </row>
    <row r="80" spans="2:17" x14ac:dyDescent="0.3">
      <c r="J80" s="46"/>
    </row>
    <row r="81" spans="10:10" x14ac:dyDescent="0.3">
      <c r="J81" s="46"/>
    </row>
    <row r="82" spans="10:10" x14ac:dyDescent="0.3">
      <c r="J82" s="46"/>
    </row>
    <row r="83" spans="10:10" x14ac:dyDescent="0.3">
      <c r="J83" s="46"/>
    </row>
    <row r="84" spans="10:10" x14ac:dyDescent="0.3">
      <c r="J84" s="46"/>
    </row>
    <row r="85" spans="10:10" x14ac:dyDescent="0.3">
      <c r="J85" s="46"/>
    </row>
    <row r="86" spans="10:10" x14ac:dyDescent="0.3">
      <c r="J86" s="61"/>
    </row>
    <row r="87" spans="10:10" x14ac:dyDescent="0.3">
      <c r="J87" s="94"/>
    </row>
    <row r="88" spans="10:10" x14ac:dyDescent="0.3">
      <c r="J88" s="95"/>
    </row>
  </sheetData>
  <mergeCells count="10">
    <mergeCell ref="B47:L47"/>
    <mergeCell ref="N47:P47"/>
    <mergeCell ref="B48:L48"/>
    <mergeCell ref="N48:P48"/>
    <mergeCell ref="B4:Q4"/>
    <mergeCell ref="B31:J31"/>
    <mergeCell ref="B36:L36"/>
    <mergeCell ref="N36:P36"/>
    <mergeCell ref="B37:L37"/>
    <mergeCell ref="N37:P37"/>
  </mergeCells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A68B-0574-4A69-8C0C-E459837CA84F}">
  <dimension ref="A1:E12"/>
  <sheetViews>
    <sheetView workbookViewId="0">
      <selection activeCell="E10" sqref="E10"/>
    </sheetView>
  </sheetViews>
  <sheetFormatPr baseColWidth="10" defaultRowHeight="14.4" x14ac:dyDescent="0.3"/>
  <cols>
    <col min="2" max="2" width="13.33203125" style="46" bestFit="1" customWidth="1"/>
    <col min="3" max="3" width="19" customWidth="1"/>
    <col min="4" max="4" width="27.44140625" style="46" customWidth="1"/>
    <col min="5" max="5" width="26" style="46" customWidth="1"/>
  </cols>
  <sheetData>
    <row r="1" spans="1:5" ht="15" thickBot="1" x14ac:dyDescent="0.35">
      <c r="A1" s="96" t="s">
        <v>93</v>
      </c>
      <c r="B1" s="98">
        <v>8356158</v>
      </c>
    </row>
    <row r="2" spans="1:5" ht="15" thickBot="1" x14ac:dyDescent="0.35">
      <c r="A2" s="97" t="s">
        <v>94</v>
      </c>
      <c r="B2" s="99">
        <v>1060459</v>
      </c>
    </row>
    <row r="3" spans="1:5" ht="15" thickBot="1" x14ac:dyDescent="0.35">
      <c r="A3" s="97" t="s">
        <v>95</v>
      </c>
      <c r="B3" s="99">
        <v>146909</v>
      </c>
    </row>
    <row r="7" spans="1:5" ht="17.399999999999999" x14ac:dyDescent="0.3">
      <c r="A7" s="100" t="s">
        <v>97</v>
      </c>
      <c r="B7" s="100">
        <v>2</v>
      </c>
      <c r="C7" s="100" t="s">
        <v>67</v>
      </c>
      <c r="D7" s="101">
        <v>297931627</v>
      </c>
      <c r="E7" s="101">
        <v>1755606</v>
      </c>
    </row>
    <row r="8" spans="1:5" ht="17.399999999999999" x14ac:dyDescent="0.3">
      <c r="A8" s="100" t="s">
        <v>97</v>
      </c>
      <c r="B8" s="100">
        <v>2</v>
      </c>
      <c r="C8" s="100" t="s">
        <v>92</v>
      </c>
      <c r="D8" s="101">
        <v>5821706597</v>
      </c>
      <c r="E8" s="101">
        <v>6600552</v>
      </c>
    </row>
    <row r="9" spans="1:5" ht="17.399999999999999" x14ac:dyDescent="0.3">
      <c r="A9" s="100" t="s">
        <v>60</v>
      </c>
      <c r="B9" s="100">
        <v>2</v>
      </c>
      <c r="C9" s="100" t="s">
        <v>92</v>
      </c>
      <c r="D9" s="101">
        <v>1166315215</v>
      </c>
      <c r="E9" s="101">
        <v>1060459</v>
      </c>
    </row>
    <row r="10" spans="1:5" ht="17.399999999999999" x14ac:dyDescent="0.3">
      <c r="A10" s="100" t="s">
        <v>57</v>
      </c>
      <c r="B10" s="100">
        <v>6</v>
      </c>
      <c r="C10" s="100" t="s">
        <v>92</v>
      </c>
      <c r="D10" s="101">
        <v>342531260</v>
      </c>
      <c r="E10" s="101">
        <v>146909</v>
      </c>
    </row>
    <row r="12" spans="1:5" x14ac:dyDescent="0.3">
      <c r="E12" s="46">
        <f>SUM(E7:E11)</f>
        <v>9563526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2C02-0F83-4B53-A544-20D38C60F35B}">
  <dimension ref="A1:L12"/>
  <sheetViews>
    <sheetView workbookViewId="0">
      <selection activeCell="J11" sqref="J11"/>
    </sheetView>
  </sheetViews>
  <sheetFormatPr baseColWidth="10" defaultRowHeight="14.4" x14ac:dyDescent="0.3"/>
  <cols>
    <col min="9" max="9" width="16.6640625" style="46" bestFit="1" customWidth="1"/>
    <col min="10" max="11" width="13.33203125" style="46" bestFit="1" customWidth="1"/>
  </cols>
  <sheetData>
    <row r="1" spans="1:12" x14ac:dyDescent="0.3">
      <c r="A1" t="s">
        <v>84</v>
      </c>
      <c r="B1" t="s">
        <v>64</v>
      </c>
      <c r="C1" t="s">
        <v>65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s="46" t="s">
        <v>90</v>
      </c>
      <c r="J1" s="46" t="s">
        <v>91</v>
      </c>
      <c r="K1" s="46" t="s">
        <v>81</v>
      </c>
    </row>
    <row r="2" spans="1:12" x14ac:dyDescent="0.3">
      <c r="A2">
        <v>1</v>
      </c>
      <c r="B2">
        <v>900042857</v>
      </c>
      <c r="C2">
        <v>1</v>
      </c>
      <c r="D2" t="s">
        <v>52</v>
      </c>
      <c r="E2">
        <v>7012127200317850</v>
      </c>
      <c r="F2">
        <v>2</v>
      </c>
      <c r="G2" s="93">
        <v>43908</v>
      </c>
      <c r="H2" s="93">
        <v>43915</v>
      </c>
      <c r="I2" s="46">
        <v>4201377233</v>
      </c>
      <c r="J2" s="46">
        <v>4814318</v>
      </c>
      <c r="K2" s="46">
        <v>4409169</v>
      </c>
    </row>
    <row r="3" spans="1:12" x14ac:dyDescent="0.3">
      <c r="A3">
        <v>1</v>
      </c>
      <c r="B3">
        <v>900042857</v>
      </c>
      <c r="C3">
        <v>1</v>
      </c>
      <c r="D3" t="s">
        <v>52</v>
      </c>
      <c r="E3">
        <v>7012127200319180</v>
      </c>
      <c r="F3">
        <v>2</v>
      </c>
      <c r="G3" s="93">
        <v>43857</v>
      </c>
      <c r="H3" s="93">
        <v>43915</v>
      </c>
      <c r="I3" s="46">
        <v>478844194</v>
      </c>
      <c r="J3" s="46">
        <v>454640</v>
      </c>
      <c r="K3" s="46">
        <v>0</v>
      </c>
    </row>
    <row r="4" spans="1:12" x14ac:dyDescent="0.3">
      <c r="A4">
        <v>2</v>
      </c>
      <c r="B4">
        <v>900042857</v>
      </c>
      <c r="C4">
        <v>1</v>
      </c>
      <c r="D4" t="s">
        <v>52</v>
      </c>
      <c r="E4">
        <v>7012127200318270</v>
      </c>
      <c r="F4">
        <v>2</v>
      </c>
      <c r="G4" s="93">
        <v>43908</v>
      </c>
      <c r="H4" s="93">
        <v>43915</v>
      </c>
      <c r="I4" s="46">
        <v>6298761</v>
      </c>
      <c r="J4" s="46">
        <v>7011</v>
      </c>
      <c r="K4" s="46">
        <v>0</v>
      </c>
    </row>
    <row r="5" spans="1:12" x14ac:dyDescent="0.3">
      <c r="A5">
        <v>2</v>
      </c>
      <c r="B5">
        <v>900042857</v>
      </c>
      <c r="C5">
        <v>1</v>
      </c>
      <c r="D5" t="s">
        <v>52</v>
      </c>
      <c r="E5">
        <v>7012127200317860</v>
      </c>
      <c r="F5">
        <v>2</v>
      </c>
      <c r="G5" s="93">
        <v>43908</v>
      </c>
      <c r="H5" s="93">
        <v>43915</v>
      </c>
      <c r="I5" s="46">
        <v>1086269683</v>
      </c>
      <c r="J5" s="46">
        <v>1244746</v>
      </c>
      <c r="K5" s="46">
        <v>810105</v>
      </c>
    </row>
    <row r="6" spans="1:12" x14ac:dyDescent="0.3">
      <c r="A6">
        <v>3</v>
      </c>
      <c r="B6">
        <v>800052640</v>
      </c>
      <c r="C6">
        <v>9</v>
      </c>
      <c r="D6" t="s">
        <v>52</v>
      </c>
      <c r="E6">
        <v>7012127200317800</v>
      </c>
      <c r="F6">
        <v>2</v>
      </c>
      <c r="G6" s="93">
        <v>43908</v>
      </c>
      <c r="H6" s="93">
        <v>43915</v>
      </c>
      <c r="I6" s="46">
        <v>25541190</v>
      </c>
      <c r="J6" s="46">
        <v>29267</v>
      </c>
      <c r="K6" s="46">
        <v>0</v>
      </c>
    </row>
    <row r="7" spans="1:12" x14ac:dyDescent="0.3">
      <c r="A7">
        <v>3</v>
      </c>
      <c r="B7">
        <v>890800128</v>
      </c>
      <c r="C7">
        <v>6</v>
      </c>
      <c r="D7" t="s">
        <v>52</v>
      </c>
      <c r="E7">
        <v>7012127200317790</v>
      </c>
      <c r="F7">
        <v>2</v>
      </c>
      <c r="G7" s="93">
        <v>43908</v>
      </c>
      <c r="H7" s="93">
        <v>43915</v>
      </c>
      <c r="I7" s="46">
        <v>251871016</v>
      </c>
      <c r="J7" s="46">
        <v>288617</v>
      </c>
      <c r="K7" s="46">
        <v>41584</v>
      </c>
    </row>
    <row r="8" spans="1:12" x14ac:dyDescent="0.3">
      <c r="A8">
        <v>3</v>
      </c>
      <c r="B8">
        <v>836000349</v>
      </c>
      <c r="C8">
        <v>8</v>
      </c>
      <c r="D8" t="s">
        <v>52</v>
      </c>
      <c r="E8">
        <v>7012127200317810</v>
      </c>
      <c r="F8">
        <v>2</v>
      </c>
      <c r="G8" s="93">
        <v>43908</v>
      </c>
      <c r="H8" s="93">
        <v>43915</v>
      </c>
      <c r="I8" s="46">
        <v>45316089</v>
      </c>
      <c r="J8" s="46">
        <v>51927</v>
      </c>
      <c r="K8" s="46">
        <v>0</v>
      </c>
    </row>
    <row r="9" spans="1:12" x14ac:dyDescent="0.3">
      <c r="A9">
        <v>3</v>
      </c>
      <c r="B9">
        <v>891200200</v>
      </c>
      <c r="C9">
        <v>8</v>
      </c>
      <c r="D9" t="s">
        <v>52</v>
      </c>
      <c r="E9">
        <v>7012127200317830</v>
      </c>
      <c r="F9">
        <v>2</v>
      </c>
      <c r="G9" s="93">
        <v>43908</v>
      </c>
      <c r="H9" s="93">
        <v>43915</v>
      </c>
      <c r="I9" s="46">
        <v>2427433</v>
      </c>
      <c r="J9" s="46">
        <v>2782</v>
      </c>
      <c r="K9" s="46">
        <v>0</v>
      </c>
    </row>
    <row r="10" spans="1:12" x14ac:dyDescent="0.3">
      <c r="A10">
        <v>3</v>
      </c>
      <c r="B10">
        <v>830037248</v>
      </c>
      <c r="C10">
        <v>0</v>
      </c>
      <c r="D10" t="s">
        <v>52</v>
      </c>
      <c r="E10">
        <v>7012127200317820</v>
      </c>
      <c r="F10">
        <v>2</v>
      </c>
      <c r="G10" s="93">
        <v>43908</v>
      </c>
      <c r="H10" s="93">
        <v>43915</v>
      </c>
      <c r="I10" s="46">
        <v>18078811</v>
      </c>
      <c r="J10" s="46">
        <v>20716</v>
      </c>
      <c r="K10" s="46">
        <v>0</v>
      </c>
    </row>
    <row r="11" spans="1:12" x14ac:dyDescent="0.3">
      <c r="A11">
        <v>3</v>
      </c>
      <c r="B11">
        <v>800249860</v>
      </c>
      <c r="C11">
        <v>1</v>
      </c>
      <c r="D11" t="s">
        <v>52</v>
      </c>
      <c r="E11">
        <v>7012127200317840</v>
      </c>
      <c r="F11">
        <v>2</v>
      </c>
      <c r="G11" s="93">
        <v>43908</v>
      </c>
      <c r="H11" s="93">
        <v>43915</v>
      </c>
      <c r="I11" s="46">
        <v>2230366</v>
      </c>
      <c r="J11" s="46">
        <v>2556</v>
      </c>
      <c r="K11" s="46">
        <v>0</v>
      </c>
    </row>
    <row r="12" spans="1:12" x14ac:dyDescent="0.3">
      <c r="I12" s="46">
        <f>SUM(I2:I11)</f>
        <v>6118254776</v>
      </c>
      <c r="J12" s="46">
        <f t="shared" ref="J12:L12" si="0">SUM(J2:J11)</f>
        <v>6916580</v>
      </c>
      <c r="K12" s="46">
        <f t="shared" si="0"/>
        <v>5260858</v>
      </c>
      <c r="L12" s="46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R74"/>
  <sheetViews>
    <sheetView showGridLines="0" zoomScale="90" zoomScaleNormal="90" workbookViewId="0">
      <selection activeCell="A14" sqref="A14"/>
    </sheetView>
  </sheetViews>
  <sheetFormatPr baseColWidth="10" defaultRowHeight="14.4" x14ac:dyDescent="0.3"/>
  <cols>
    <col min="1" max="1" width="3.5546875" customWidth="1"/>
    <col min="2" max="2" width="20.5546875" bestFit="1" customWidth="1"/>
    <col min="3" max="3" width="12.6640625" customWidth="1"/>
    <col min="4" max="4" width="14.33203125" hidden="1" customWidth="1"/>
    <col min="5" max="5" width="19" bestFit="1" customWidth="1"/>
    <col min="6" max="6" width="18.6640625" customWidth="1"/>
    <col min="7" max="7" width="17.6640625" customWidth="1"/>
    <col min="8" max="8" width="19.44140625" customWidth="1"/>
    <col min="9" max="9" width="16.44140625" hidden="1" customWidth="1"/>
    <col min="10" max="10" width="22.6640625" customWidth="1"/>
    <col min="11" max="11" width="22.33203125" customWidth="1"/>
    <col min="12" max="12" width="19.5546875" customWidth="1"/>
    <col min="13" max="13" width="8.44140625" customWidth="1"/>
    <col min="14" max="14" width="19.33203125" style="1" customWidth="1"/>
    <col min="15" max="15" width="11.44140625" style="1" customWidth="1"/>
    <col min="16" max="16" width="13.33203125" style="1" customWidth="1"/>
    <col min="17" max="17" width="15" bestFit="1" customWidth="1"/>
    <col min="18" max="18" width="21.6640625" hidden="1" customWidth="1"/>
  </cols>
  <sheetData>
    <row r="4" spans="2:18" ht="25.8" x14ac:dyDescent="0.5">
      <c r="B4" s="155" t="s">
        <v>68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7" spans="2:18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54</v>
      </c>
      <c r="R7" s="83" t="s">
        <v>81</v>
      </c>
    </row>
    <row r="8" spans="2:18" ht="15.6" x14ac:dyDescent="0.3">
      <c r="B8" s="79" t="s">
        <v>77</v>
      </c>
      <c r="C8" s="83" t="s">
        <v>53</v>
      </c>
      <c r="D8" s="63">
        <v>1</v>
      </c>
      <c r="E8" s="83" t="s">
        <v>61</v>
      </c>
      <c r="F8" s="63">
        <v>900042857</v>
      </c>
      <c r="G8" s="63">
        <v>1</v>
      </c>
      <c r="H8" s="83" t="s">
        <v>67</v>
      </c>
      <c r="I8" s="63" t="s">
        <v>52</v>
      </c>
      <c r="J8" s="69">
        <v>4201377233</v>
      </c>
      <c r="K8" s="64">
        <v>43845</v>
      </c>
      <c r="L8" s="53">
        <v>43915</v>
      </c>
      <c r="M8" s="70">
        <f>+Tabla1[[#This Row],[Fecha Vencimiento]]-Tabla1[[#This Row],[Fecha Emisión]]</f>
        <v>70</v>
      </c>
      <c r="N8" s="71">
        <f t="shared" ref="N8:N18" si="0">+(J8*$E$20)*(M8/$E$21)</f>
        <v>4028717.8946575341</v>
      </c>
      <c r="O8" s="71">
        <f t="shared" ref="O8:O18" si="1">+N8*$E$22</f>
        <v>765456.39998493146</v>
      </c>
      <c r="P8" s="71">
        <f t="shared" ref="P8:P18" si="2">+N8*$E$23</f>
        <v>20143.58947328767</v>
      </c>
      <c r="Q8" s="71">
        <f>+N8+O8+P8</f>
        <v>4814317.8841157528</v>
      </c>
      <c r="R8" s="71">
        <v>4409169</v>
      </c>
    </row>
    <row r="9" spans="2:18" ht="15.6" x14ac:dyDescent="0.3">
      <c r="B9" s="79" t="s">
        <v>80</v>
      </c>
      <c r="C9" s="83" t="s">
        <v>53</v>
      </c>
      <c r="D9" s="63">
        <v>1</v>
      </c>
      <c r="E9" s="83" t="s">
        <v>61</v>
      </c>
      <c r="F9" s="63">
        <v>900042857</v>
      </c>
      <c r="G9" s="63">
        <v>1</v>
      </c>
      <c r="H9" s="83" t="s">
        <v>67</v>
      </c>
      <c r="I9" s="63" t="s">
        <v>52</v>
      </c>
      <c r="J9" s="69">
        <v>478844194</v>
      </c>
      <c r="K9" s="64">
        <v>43857</v>
      </c>
      <c r="L9" s="53">
        <v>43915</v>
      </c>
      <c r="M9" s="70">
        <f>+Tabla1[[#This Row],[Fecha Vencimiento]]-Tabla1[[#This Row],[Fecha Emisión]]</f>
        <v>58</v>
      </c>
      <c r="N9" s="71">
        <f t="shared" si="0"/>
        <v>380451.55139726034</v>
      </c>
      <c r="O9" s="71">
        <f t="shared" si="1"/>
        <v>72285.79476547947</v>
      </c>
      <c r="P9" s="71">
        <f t="shared" si="2"/>
        <v>1902.2577569863017</v>
      </c>
      <c r="Q9" s="71">
        <f t="shared" ref="Q9:Q18" si="3">+N9+O9+P9</f>
        <v>454639.6039197261</v>
      </c>
      <c r="R9" s="71"/>
    </row>
    <row r="10" spans="2:18" ht="15.6" x14ac:dyDescent="0.3">
      <c r="B10" s="79" t="s">
        <v>78</v>
      </c>
      <c r="C10" s="63" t="s">
        <v>60</v>
      </c>
      <c r="D10" s="63">
        <v>2</v>
      </c>
      <c r="E10" s="63" t="s">
        <v>61</v>
      </c>
      <c r="F10" s="63">
        <v>900042857</v>
      </c>
      <c r="G10" s="63">
        <v>1</v>
      </c>
      <c r="H10" s="83" t="s">
        <v>67</v>
      </c>
      <c r="I10" s="63" t="s">
        <v>52</v>
      </c>
      <c r="J10" s="69">
        <v>6298761</v>
      </c>
      <c r="K10" s="64">
        <v>43847</v>
      </c>
      <c r="L10" s="53">
        <v>43915</v>
      </c>
      <c r="M10" s="70">
        <f>+Tabla1[[#This Row],[Fecha Vencimiento]]-Tabla1[[#This Row],[Fecha Emisión]]</f>
        <v>68</v>
      </c>
      <c r="N10" s="71">
        <f t="shared" si="0"/>
        <v>5867.3390136986309</v>
      </c>
      <c r="O10" s="71">
        <f t="shared" si="1"/>
        <v>1114.7944126027398</v>
      </c>
      <c r="P10" s="71">
        <f t="shared" si="2"/>
        <v>29.336695068493157</v>
      </c>
      <c r="Q10" s="71">
        <f t="shared" si="3"/>
        <v>7011.4701213698636</v>
      </c>
      <c r="R10" s="71"/>
    </row>
    <row r="11" spans="2:18" ht="15.6" x14ac:dyDescent="0.3">
      <c r="B11" s="79" t="s">
        <v>76</v>
      </c>
      <c r="C11" s="63" t="s">
        <v>60</v>
      </c>
      <c r="D11" s="63">
        <v>3</v>
      </c>
      <c r="E11" s="63" t="s">
        <v>61</v>
      </c>
      <c r="F11" s="63">
        <v>900042857</v>
      </c>
      <c r="G11" s="63">
        <v>1</v>
      </c>
      <c r="H11" s="83" t="s">
        <v>67</v>
      </c>
      <c r="I11" s="63" t="s">
        <v>52</v>
      </c>
      <c r="J11" s="69">
        <v>1086269683</v>
      </c>
      <c r="K11" s="64">
        <v>43845</v>
      </c>
      <c r="L11" s="53">
        <v>43915</v>
      </c>
      <c r="M11" s="70">
        <f>+Tabla1[[#This Row],[Fecha Vencimiento]]-Tabla1[[#This Row],[Fecha Emisión]]</f>
        <v>70</v>
      </c>
      <c r="N11" s="71">
        <f t="shared" si="0"/>
        <v>1041628.4631506848</v>
      </c>
      <c r="O11" s="71">
        <f t="shared" si="1"/>
        <v>197909.40799863011</v>
      </c>
      <c r="P11" s="71">
        <f t="shared" si="2"/>
        <v>5208.1423157534246</v>
      </c>
      <c r="Q11" s="71">
        <f t="shared" si="3"/>
        <v>1244746.0134650685</v>
      </c>
      <c r="R11" s="71">
        <v>810105</v>
      </c>
    </row>
    <row r="12" spans="2:18" ht="15.6" x14ac:dyDescent="0.3">
      <c r="B12" s="79" t="s">
        <v>73</v>
      </c>
      <c r="C12" s="50" t="s">
        <v>57</v>
      </c>
      <c r="D12" s="50">
        <v>3</v>
      </c>
      <c r="E12" s="50" t="s">
        <v>58</v>
      </c>
      <c r="F12" s="50">
        <v>800052640</v>
      </c>
      <c r="G12" s="50">
        <v>9</v>
      </c>
      <c r="H12" s="83" t="s">
        <v>67</v>
      </c>
      <c r="I12" s="50" t="s">
        <v>52</v>
      </c>
      <c r="J12" s="68">
        <v>25541190</v>
      </c>
      <c r="K12" s="64">
        <v>43845</v>
      </c>
      <c r="L12" s="53">
        <v>43915</v>
      </c>
      <c r="M12" s="51">
        <f>+Tabla1[[#This Row],[Fecha Vencimiento]]-Tabla1[[#This Row],[Fecha Emisión]]</f>
        <v>70</v>
      </c>
      <c r="N12" s="71">
        <f t="shared" si="0"/>
        <v>24491.55205479452</v>
      </c>
      <c r="O12" s="71">
        <f t="shared" si="1"/>
        <v>4653.3948904109584</v>
      </c>
      <c r="P12" s="71">
        <f t="shared" si="2"/>
        <v>122.4577602739726</v>
      </c>
      <c r="Q12" s="71">
        <f t="shared" si="3"/>
        <v>29267.40470547945</v>
      </c>
      <c r="R12" s="71"/>
    </row>
    <row r="13" spans="2:18" ht="15.6" x14ac:dyDescent="0.3">
      <c r="B13" s="79" t="s">
        <v>75</v>
      </c>
      <c r="C13" s="63" t="s">
        <v>57</v>
      </c>
      <c r="D13" s="63">
        <v>3</v>
      </c>
      <c r="E13" s="63" t="s">
        <v>15</v>
      </c>
      <c r="F13" s="63">
        <v>890800128</v>
      </c>
      <c r="G13" s="63">
        <v>6</v>
      </c>
      <c r="H13" s="83" t="s">
        <v>67</v>
      </c>
      <c r="I13" s="63" t="s">
        <v>52</v>
      </c>
      <c r="J13" s="69">
        <v>251871016</v>
      </c>
      <c r="K13" s="64">
        <v>43845</v>
      </c>
      <c r="L13" s="53">
        <v>43915</v>
      </c>
      <c r="M13" s="70">
        <f>+Tabla1[[#This Row],[Fecha Vencimiento]]-Tabla1[[#This Row],[Fecha Emisión]]</f>
        <v>70</v>
      </c>
      <c r="N13" s="71">
        <f t="shared" si="0"/>
        <v>241520.15232876712</v>
      </c>
      <c r="O13" s="71">
        <f t="shared" si="1"/>
        <v>45888.828942465756</v>
      </c>
      <c r="P13" s="71">
        <f t="shared" si="2"/>
        <v>1207.6007616438355</v>
      </c>
      <c r="Q13" s="71">
        <f t="shared" si="3"/>
        <v>288616.58203287673</v>
      </c>
      <c r="R13" s="71">
        <v>41584</v>
      </c>
    </row>
    <row r="14" spans="2:18" ht="15.6" x14ac:dyDescent="0.3">
      <c r="B14" s="79" t="s">
        <v>74</v>
      </c>
      <c r="C14" s="63" t="s">
        <v>57</v>
      </c>
      <c r="D14" s="63">
        <v>3</v>
      </c>
      <c r="E14" s="63" t="s">
        <v>20</v>
      </c>
      <c r="F14" s="63">
        <v>836000349</v>
      </c>
      <c r="G14" s="63">
        <v>8</v>
      </c>
      <c r="H14" s="83" t="s">
        <v>67</v>
      </c>
      <c r="I14" s="63" t="s">
        <v>52</v>
      </c>
      <c r="J14" s="69">
        <v>45316089</v>
      </c>
      <c r="K14" s="64">
        <v>43845</v>
      </c>
      <c r="L14" s="53">
        <v>43915</v>
      </c>
      <c r="M14" s="70">
        <f>+Tabla1[[#This Row],[Fecha Vencimiento]]-Tabla1[[#This Row],[Fecha Emisión]]</f>
        <v>70</v>
      </c>
      <c r="N14" s="71">
        <f t="shared" si="0"/>
        <v>43453.783972602738</v>
      </c>
      <c r="O14" s="71">
        <f t="shared" si="1"/>
        <v>8256.21895479452</v>
      </c>
      <c r="P14" s="71">
        <f t="shared" si="2"/>
        <v>217.26891986301371</v>
      </c>
      <c r="Q14" s="71">
        <f t="shared" si="3"/>
        <v>51927.271847260272</v>
      </c>
      <c r="R14" s="71"/>
    </row>
    <row r="15" spans="2:18" ht="15.6" x14ac:dyDescent="0.3">
      <c r="B15" s="79" t="s">
        <v>71</v>
      </c>
      <c r="C15" s="63" t="s">
        <v>57</v>
      </c>
      <c r="D15" s="63">
        <v>3</v>
      </c>
      <c r="E15" s="63" t="s">
        <v>59</v>
      </c>
      <c r="F15" s="63">
        <v>891200200</v>
      </c>
      <c r="G15" s="63">
        <v>8</v>
      </c>
      <c r="H15" s="83" t="s">
        <v>67</v>
      </c>
      <c r="I15" s="63" t="s">
        <v>52</v>
      </c>
      <c r="J15" s="69">
        <v>2427433</v>
      </c>
      <c r="K15" s="64">
        <v>43845</v>
      </c>
      <c r="L15" s="53">
        <v>43915</v>
      </c>
      <c r="M15" s="70">
        <f>+Tabla1[[#This Row],[Fecha Vencimiento]]-Tabla1[[#This Row],[Fecha Emisión]]</f>
        <v>70</v>
      </c>
      <c r="N15" s="71">
        <f t="shared" si="0"/>
        <v>2327.6754794520548</v>
      </c>
      <c r="O15" s="71">
        <f t="shared" si="1"/>
        <v>442.25834109589039</v>
      </c>
      <c r="P15" s="71">
        <f t="shared" si="2"/>
        <v>11.638377397260275</v>
      </c>
      <c r="Q15" s="71">
        <f t="shared" si="3"/>
        <v>2781.5721979452055</v>
      </c>
      <c r="R15" s="71"/>
    </row>
    <row r="16" spans="2:18" ht="15.6" x14ac:dyDescent="0.3">
      <c r="B16" s="79" t="s">
        <v>72</v>
      </c>
      <c r="C16" s="63" t="s">
        <v>57</v>
      </c>
      <c r="D16" s="63">
        <v>3</v>
      </c>
      <c r="E16" s="63" t="s">
        <v>62</v>
      </c>
      <c r="F16" s="63">
        <v>830037248</v>
      </c>
      <c r="G16" s="63">
        <v>0</v>
      </c>
      <c r="H16" s="83" t="s">
        <v>67</v>
      </c>
      <c r="I16" s="63" t="s">
        <v>52</v>
      </c>
      <c r="J16" s="69">
        <v>18078811</v>
      </c>
      <c r="K16" s="64">
        <v>43845</v>
      </c>
      <c r="L16" s="53">
        <v>43915</v>
      </c>
      <c r="M16" s="70">
        <f>+Tabla1[[#This Row],[Fecha Vencimiento]]-Tabla1[[#This Row],[Fecha Emisión]]</f>
        <v>70</v>
      </c>
      <c r="N16" s="71">
        <f t="shared" si="0"/>
        <v>17335.846164383562</v>
      </c>
      <c r="O16" s="71">
        <f t="shared" si="1"/>
        <v>3293.810771232877</v>
      </c>
      <c r="P16" s="71">
        <f t="shared" si="2"/>
        <v>86.679230821917812</v>
      </c>
      <c r="Q16" s="71">
        <f t="shared" si="3"/>
        <v>20716.336166438359</v>
      </c>
      <c r="R16" s="71"/>
    </row>
    <row r="17" spans="2:18" ht="15.6" x14ac:dyDescent="0.3">
      <c r="B17" s="91" t="s">
        <v>82</v>
      </c>
      <c r="C17" s="63" t="s">
        <v>57</v>
      </c>
      <c r="D17" s="63"/>
      <c r="E17" s="63" t="s">
        <v>83</v>
      </c>
      <c r="F17" s="63">
        <v>800249860</v>
      </c>
      <c r="G17" s="63">
        <v>1</v>
      </c>
      <c r="H17" s="83" t="s">
        <v>67</v>
      </c>
      <c r="I17" s="63" t="s">
        <v>52</v>
      </c>
      <c r="J17" s="69">
        <v>2230366</v>
      </c>
      <c r="K17" s="64">
        <v>43845</v>
      </c>
      <c r="L17" s="53">
        <v>43915</v>
      </c>
      <c r="M17" s="70">
        <f>+Tabla1[[#This Row],[Fecha Vencimiento]]-Tabla1[[#This Row],[Fecha Emisión]]</f>
        <v>70</v>
      </c>
      <c r="N17" s="71">
        <f t="shared" si="0"/>
        <v>2138.707123287671</v>
      </c>
      <c r="O17" s="71">
        <f>+N17*$E$22</f>
        <v>406.35435342465752</v>
      </c>
      <c r="P17" s="71">
        <f>+N17*$E$23</f>
        <v>10.693535616438355</v>
      </c>
      <c r="Q17" s="71">
        <f>+N17+O17+P17</f>
        <v>2555.755012328767</v>
      </c>
      <c r="R17" s="71"/>
    </row>
    <row r="18" spans="2:18" ht="15.6" x14ac:dyDescent="0.3">
      <c r="B18" s="79" t="s">
        <v>70</v>
      </c>
      <c r="C18" s="63" t="s">
        <v>57</v>
      </c>
      <c r="D18" s="63">
        <v>3</v>
      </c>
      <c r="E18" s="83" t="s">
        <v>79</v>
      </c>
      <c r="F18" s="63">
        <v>800249860</v>
      </c>
      <c r="G18" s="63">
        <v>1</v>
      </c>
      <c r="H18" s="83" t="s">
        <v>67</v>
      </c>
      <c r="I18" s="63" t="s">
        <v>52</v>
      </c>
      <c r="J18" s="69">
        <v>2230366</v>
      </c>
      <c r="K18" s="64">
        <v>43850</v>
      </c>
      <c r="L18" s="53">
        <v>43915</v>
      </c>
      <c r="M18" s="70">
        <f>+Tabla1[[#This Row],[Fecha Vencimiento]]-Tabla1[[#This Row],[Fecha Emisión]]</f>
        <v>65</v>
      </c>
      <c r="N18" s="71">
        <f t="shared" si="0"/>
        <v>1985.9423287671232</v>
      </c>
      <c r="O18" s="71">
        <f t="shared" si="1"/>
        <v>377.32904246575339</v>
      </c>
      <c r="P18" s="71">
        <f t="shared" si="2"/>
        <v>9.9297116438356152</v>
      </c>
      <c r="Q18" s="71">
        <f t="shared" si="3"/>
        <v>2373.201082876712</v>
      </c>
      <c r="R18" s="71"/>
    </row>
    <row r="19" spans="2:18" ht="15.6" x14ac:dyDescent="0.3">
      <c r="B19" s="75" t="s">
        <v>44</v>
      </c>
      <c r="C19" s="75"/>
      <c r="D19" s="75"/>
      <c r="E19" s="63"/>
      <c r="F19" s="63"/>
      <c r="G19" s="63"/>
      <c r="H19" s="63"/>
      <c r="I19" s="63"/>
      <c r="J19" s="76">
        <f>+SUM(J8:J18)</f>
        <v>6120485142</v>
      </c>
      <c r="K19" s="76"/>
      <c r="L19" s="76"/>
      <c r="M19" s="77"/>
      <c r="N19" s="78">
        <f>+SUM(N8:N18)</f>
        <v>5789918.9076712327</v>
      </c>
      <c r="O19" s="78">
        <f>+SUM(O8:O18)</f>
        <v>1100084.5924575343</v>
      </c>
      <c r="P19" s="78">
        <f>+SUM(P8:P18)</f>
        <v>28949.59453835617</v>
      </c>
      <c r="Q19" s="78">
        <f>+SUM(Q8:Q18)</f>
        <v>6918953.0946671227</v>
      </c>
      <c r="R19" s="92">
        <f>SUBTOTAL(109,R8:R18)</f>
        <v>5260858</v>
      </c>
    </row>
    <row r="20" spans="2:18" ht="21" hidden="1" x14ac:dyDescent="0.4">
      <c r="C20" s="3" t="s">
        <v>16</v>
      </c>
      <c r="D20" s="80"/>
      <c r="E20" s="4">
        <v>5.0000000000000001E-3</v>
      </c>
      <c r="F20" s="40"/>
      <c r="G20" s="40"/>
      <c r="H20" s="40"/>
    </row>
    <row r="21" spans="2:18" ht="21" hidden="1" x14ac:dyDescent="0.4">
      <c r="C21" s="5" t="s">
        <v>17</v>
      </c>
      <c r="D21" s="81"/>
      <c r="E21" s="6">
        <v>365</v>
      </c>
      <c r="F21" s="41"/>
      <c r="G21" s="41"/>
      <c r="H21" s="41"/>
    </row>
    <row r="22" spans="2:18" ht="21" hidden="1" x14ac:dyDescent="0.4">
      <c r="C22" s="5" t="s">
        <v>8</v>
      </c>
      <c r="D22" s="81"/>
      <c r="E22" s="7">
        <v>0.19</v>
      </c>
      <c r="F22" s="42"/>
      <c r="G22" s="42"/>
      <c r="H22" s="42"/>
    </row>
    <row r="23" spans="2:18" ht="21.6" hidden="1" thickBot="1" x14ac:dyDescent="0.45">
      <c r="C23" s="8" t="s">
        <v>18</v>
      </c>
      <c r="D23" s="82"/>
      <c r="E23" s="9">
        <v>5.0000000000000001E-3</v>
      </c>
      <c r="F23" s="43"/>
      <c r="G23" s="43"/>
      <c r="H23" s="43"/>
    </row>
    <row r="24" spans="2:18" ht="21" x14ac:dyDescent="0.4">
      <c r="C24" s="2"/>
      <c r="D24" s="2"/>
    </row>
    <row r="25" spans="2:18" ht="21.6" thickBot="1" x14ac:dyDescent="0.45">
      <c r="C25" s="2"/>
      <c r="D25" s="2"/>
    </row>
    <row r="26" spans="2:18" ht="19.5" customHeight="1" thickBot="1" x14ac:dyDescent="0.4">
      <c r="B26" s="156" t="s">
        <v>69</v>
      </c>
      <c r="C26" s="157"/>
      <c r="D26" s="157"/>
      <c r="E26" s="157"/>
      <c r="F26" s="157"/>
      <c r="G26" s="157"/>
      <c r="H26" s="157"/>
      <c r="I26" s="157"/>
      <c r="J26" s="157"/>
      <c r="K26" s="55">
        <f>+Tabla1[[#Totals],[VR TOTAL]]</f>
        <v>6918953.0946671227</v>
      </c>
      <c r="M26" s="1"/>
      <c r="P26"/>
    </row>
    <row r="27" spans="2:18" ht="21" x14ac:dyDescent="0.4">
      <c r="C27" s="2"/>
      <c r="D27" s="2"/>
    </row>
    <row r="28" spans="2:18" ht="21" x14ac:dyDescent="0.4">
      <c r="C28" s="2"/>
      <c r="D28" s="2"/>
    </row>
    <row r="29" spans="2:18" ht="21" hidden="1" customHeight="1" x14ac:dyDescent="0.4">
      <c r="C29" s="2"/>
      <c r="D29" s="2"/>
      <c r="M29" s="86" t="s">
        <v>60</v>
      </c>
      <c r="N29" s="85">
        <v>2</v>
      </c>
      <c r="O29" s="85" t="s">
        <v>67</v>
      </c>
      <c r="P29" s="85">
        <v>1092568444</v>
      </c>
      <c r="Q29" s="87">
        <v>810105</v>
      </c>
    </row>
    <row r="30" spans="2:18" ht="18.75" hidden="1" customHeight="1" x14ac:dyDescent="0.3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88" t="s">
        <v>57</v>
      </c>
      <c r="N30" s="89">
        <v>6</v>
      </c>
      <c r="O30" s="89" t="s">
        <v>67</v>
      </c>
      <c r="P30" s="89">
        <v>345464905</v>
      </c>
      <c r="Q30" s="90">
        <v>41584</v>
      </c>
    </row>
    <row r="31" spans="2:18" ht="18" hidden="1" x14ac:dyDescent="0.35">
      <c r="B31" s="154" t="s">
        <v>38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66"/>
      <c r="N31" s="154" t="s">
        <v>39</v>
      </c>
      <c r="O31" s="154"/>
      <c r="P31" s="154"/>
    </row>
    <row r="32" spans="2:18" ht="18" hidden="1" x14ac:dyDescent="0.35">
      <c r="B32" s="154" t="s">
        <v>40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66"/>
      <c r="N32" s="154" t="s">
        <v>41</v>
      </c>
      <c r="O32" s="154"/>
      <c r="P32" s="154"/>
    </row>
    <row r="33" spans="2:16" ht="18" hidden="1" x14ac:dyDescent="0.35">
      <c r="B33" s="67"/>
      <c r="C33" s="67"/>
      <c r="D33" s="74"/>
      <c r="E33" s="67"/>
      <c r="F33" s="73"/>
      <c r="G33" s="73"/>
      <c r="H33" s="73"/>
      <c r="I33" s="67"/>
      <c r="J33" s="67"/>
      <c r="K33" s="67"/>
      <c r="L33" s="67"/>
      <c r="M33" s="66"/>
      <c r="N33" s="67"/>
      <c r="O33" s="67"/>
      <c r="P33" s="67"/>
    </row>
    <row r="34" spans="2:16" ht="18" hidden="1" x14ac:dyDescent="0.35">
      <c r="B34" s="67"/>
      <c r="C34" s="67"/>
      <c r="D34" s="74"/>
      <c r="E34" s="67"/>
      <c r="F34" s="73"/>
      <c r="G34" s="73"/>
      <c r="H34" s="73"/>
      <c r="I34" s="67"/>
      <c r="J34" s="67"/>
      <c r="K34" s="67"/>
      <c r="L34" s="67"/>
      <c r="M34" s="66"/>
      <c r="N34" s="67"/>
      <c r="O34" s="67"/>
      <c r="P34" s="67"/>
    </row>
    <row r="35" spans="2:16" ht="18" hidden="1" x14ac:dyDescent="0.35">
      <c r="B35" s="67"/>
      <c r="C35" s="67"/>
      <c r="D35" s="74"/>
      <c r="E35" s="67"/>
      <c r="F35" s="73"/>
      <c r="G35" s="73"/>
      <c r="H35" s="73"/>
      <c r="I35" s="67"/>
      <c r="J35" s="67"/>
      <c r="K35" s="67"/>
      <c r="L35" s="67"/>
      <c r="M35" s="66"/>
      <c r="N35" s="67"/>
      <c r="O35" s="67"/>
      <c r="P35" s="67"/>
    </row>
    <row r="36" spans="2:16" ht="18" hidden="1" x14ac:dyDescent="0.35">
      <c r="B36" s="67"/>
      <c r="C36" s="67"/>
      <c r="D36" s="74"/>
      <c r="E36" s="67"/>
      <c r="F36" s="73"/>
      <c r="G36" s="73"/>
      <c r="H36" s="73"/>
      <c r="I36" s="67"/>
      <c r="J36" s="67"/>
      <c r="K36" s="67"/>
      <c r="L36" s="67"/>
      <c r="M36" s="66"/>
      <c r="N36" s="67"/>
      <c r="O36" s="67"/>
      <c r="P36" s="67"/>
    </row>
    <row r="37" spans="2:16" ht="18" hidden="1" x14ac:dyDescent="0.35">
      <c r="B37" s="67"/>
      <c r="C37" s="67"/>
      <c r="D37" s="74"/>
      <c r="E37" s="67"/>
      <c r="F37" s="73"/>
      <c r="G37" s="73"/>
      <c r="H37" s="73"/>
      <c r="I37" s="67"/>
      <c r="J37" s="67"/>
      <c r="K37" s="67"/>
      <c r="L37" s="67"/>
      <c r="M37" s="66"/>
      <c r="N37" s="67"/>
      <c r="O37" s="67"/>
      <c r="P37" s="67"/>
    </row>
    <row r="38" spans="2:16" ht="18" hidden="1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16" ht="18" hidden="1" x14ac:dyDescent="0.3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2:16" ht="18" hidden="1" x14ac:dyDescent="0.3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2:16" ht="18" hidden="1" x14ac:dyDescent="0.3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2:16" ht="18" hidden="1" x14ac:dyDescent="0.35">
      <c r="B42" s="154" t="s">
        <v>42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66"/>
      <c r="N42" s="154" t="s">
        <v>56</v>
      </c>
      <c r="O42" s="154"/>
      <c r="P42" s="154"/>
    </row>
    <row r="43" spans="2:16" ht="18" hidden="1" x14ac:dyDescent="0.35">
      <c r="B43" s="154" t="s">
        <v>43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66"/>
      <c r="N43" s="154" t="s">
        <v>43</v>
      </c>
      <c r="O43" s="154"/>
      <c r="P43" s="154"/>
    </row>
    <row r="44" spans="2:16" ht="18" hidden="1" x14ac:dyDescent="0.3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2:16" hidden="1" x14ac:dyDescent="0.3"/>
    <row r="46" spans="2:16" hidden="1" x14ac:dyDescent="0.3"/>
    <row r="47" spans="2:16" hidden="1" x14ac:dyDescent="0.3">
      <c r="N47" s="62"/>
    </row>
    <row r="48" spans="2:16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2:17" hidden="1" x14ac:dyDescent="0.3"/>
    <row r="66" spans="2:17" hidden="1" x14ac:dyDescent="0.3">
      <c r="J66" s="72"/>
    </row>
    <row r="72" spans="2:17" x14ac:dyDescent="0.3">
      <c r="Q72" s="56"/>
    </row>
    <row r="74" spans="2:17" x14ac:dyDescent="0.3">
      <c r="B74" s="84"/>
    </row>
  </sheetData>
  <mergeCells count="10">
    <mergeCell ref="B42:L42"/>
    <mergeCell ref="N42:P42"/>
    <mergeCell ref="B43:L43"/>
    <mergeCell ref="N43:P43"/>
    <mergeCell ref="B4:Q4"/>
    <mergeCell ref="B31:L31"/>
    <mergeCell ref="N31:P31"/>
    <mergeCell ref="B32:L32"/>
    <mergeCell ref="N32:P32"/>
    <mergeCell ref="B26:J26"/>
  </mergeCells>
  <phoneticPr fontId="17" type="noConversion"/>
  <pageMargins left="0.7" right="0.7" top="0.75" bottom="0.75" header="0.3" footer="0.3"/>
  <pageSetup scale="46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showGridLines="0" workbookViewId="0">
      <selection activeCell="C42" sqref="C42"/>
    </sheetView>
  </sheetViews>
  <sheetFormatPr baseColWidth="10" defaultRowHeight="14.4" x14ac:dyDescent="0.3"/>
  <cols>
    <col min="2" max="2" width="20.5546875" bestFit="1" customWidth="1"/>
    <col min="3" max="3" width="32.44140625" bestFit="1" customWidth="1"/>
    <col min="4" max="4" width="13.33203125" bestFit="1" customWidth="1"/>
    <col min="5" max="5" width="23.33203125" bestFit="1" customWidth="1"/>
    <col min="6" max="6" width="8.33203125" customWidth="1"/>
    <col min="9" max="9" width="14.6640625" bestFit="1" customWidth="1"/>
    <col min="10" max="10" width="16.6640625" bestFit="1" customWidth="1"/>
  </cols>
  <sheetData>
    <row r="2" spans="2:10" ht="16.2" thickBot="1" x14ac:dyDescent="0.35">
      <c r="B2" s="23" t="s">
        <v>0</v>
      </c>
      <c r="C2" s="23" t="s">
        <v>1</v>
      </c>
      <c r="D2" s="23" t="s">
        <v>2</v>
      </c>
      <c r="E2" s="23" t="s">
        <v>3</v>
      </c>
      <c r="F2" s="23" t="s">
        <v>6</v>
      </c>
      <c r="G2" s="24" t="s">
        <v>7</v>
      </c>
      <c r="H2" s="24" t="s">
        <v>8</v>
      </c>
      <c r="I2" s="24" t="s">
        <v>9</v>
      </c>
      <c r="J2" s="23" t="s">
        <v>10</v>
      </c>
    </row>
    <row r="3" spans="2:10" ht="15.6" x14ac:dyDescent="0.3">
      <c r="B3" s="25" t="s">
        <v>19</v>
      </c>
      <c r="C3" s="25" t="s">
        <v>11</v>
      </c>
      <c r="D3" s="26" t="s">
        <v>12</v>
      </c>
      <c r="E3" s="35">
        <v>2532556727</v>
      </c>
      <c r="F3" s="28">
        <v>64</v>
      </c>
      <c r="G3" s="29">
        <v>2251161.5351111111</v>
      </c>
      <c r="H3" s="29">
        <v>427720.6916711111</v>
      </c>
      <c r="I3" s="29">
        <v>11255.807675555556</v>
      </c>
      <c r="J3" s="35">
        <v>2690138.0344577776</v>
      </c>
    </row>
    <row r="4" spans="2:10" ht="15.6" x14ac:dyDescent="0.3">
      <c r="B4" s="30" t="s">
        <v>23</v>
      </c>
      <c r="C4" s="30" t="s">
        <v>13</v>
      </c>
      <c r="D4" s="31" t="s">
        <v>12</v>
      </c>
      <c r="E4" s="36">
        <v>988420092</v>
      </c>
      <c r="F4" s="33">
        <v>68</v>
      </c>
      <c r="G4" s="34">
        <v>933507.8646666666</v>
      </c>
      <c r="H4" s="34">
        <v>177366.49428666665</v>
      </c>
      <c r="I4" s="34">
        <v>4667.5393233333334</v>
      </c>
      <c r="J4" s="36">
        <v>1115541.8982766666</v>
      </c>
    </row>
    <row r="5" spans="2:10" ht="15.6" x14ac:dyDescent="0.3">
      <c r="B5" s="25" t="s">
        <v>22</v>
      </c>
      <c r="C5" s="25" t="s">
        <v>14</v>
      </c>
      <c r="D5" s="26" t="s">
        <v>15</v>
      </c>
      <c r="E5" s="35">
        <v>39946126</v>
      </c>
      <c r="F5" s="28">
        <v>68</v>
      </c>
      <c r="G5" s="29">
        <v>37726.89677777778</v>
      </c>
      <c r="H5" s="29">
        <v>7168.1103877777787</v>
      </c>
      <c r="I5" s="29">
        <v>188.63448388888889</v>
      </c>
      <c r="J5" s="35">
        <v>45083.641649444449</v>
      </c>
    </row>
    <row r="6" spans="2:10" ht="15.6" x14ac:dyDescent="0.3">
      <c r="B6" s="30" t="s">
        <v>21</v>
      </c>
      <c r="C6" s="30" t="s">
        <v>14</v>
      </c>
      <c r="D6" s="31" t="s">
        <v>20</v>
      </c>
      <c r="E6" s="36">
        <v>1084560</v>
      </c>
      <c r="F6" s="33">
        <v>68</v>
      </c>
      <c r="G6" s="34">
        <v>1024.3066666666666</v>
      </c>
      <c r="H6" s="34">
        <v>194.61826666666667</v>
      </c>
      <c r="I6" s="34">
        <v>5.1215333333333328</v>
      </c>
      <c r="J6" s="36">
        <v>1224.0464666666667</v>
      </c>
    </row>
    <row r="7" spans="2:10" ht="15.6" x14ac:dyDescent="0.3">
      <c r="B7" s="25" t="s">
        <v>24</v>
      </c>
      <c r="C7" s="25" t="s">
        <v>25</v>
      </c>
      <c r="D7" s="26" t="s">
        <v>12</v>
      </c>
      <c r="E7" s="37">
        <v>286067726</v>
      </c>
      <c r="F7" s="28">
        <v>57</v>
      </c>
      <c r="G7" s="29">
        <v>226470.28308333334</v>
      </c>
      <c r="H7" s="29">
        <v>43029.353785833337</v>
      </c>
      <c r="I7" s="29">
        <v>1132.3514154166667</v>
      </c>
      <c r="J7" s="27">
        <v>270631.98828458338</v>
      </c>
    </row>
    <row r="8" spans="2:10" ht="15.6" x14ac:dyDescent="0.3">
      <c r="B8" s="30" t="s">
        <v>26</v>
      </c>
      <c r="C8" s="30" t="s">
        <v>25</v>
      </c>
      <c r="D8" s="31" t="s">
        <v>12</v>
      </c>
      <c r="E8" s="32">
        <v>70118535</v>
      </c>
      <c r="F8" s="33">
        <v>27</v>
      </c>
      <c r="G8" s="34">
        <v>26294.450624999998</v>
      </c>
      <c r="H8" s="34">
        <v>4995.94561875</v>
      </c>
      <c r="I8" s="34">
        <v>131.47225312499998</v>
      </c>
      <c r="J8" s="32">
        <v>31421.868496874999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R22"/>
  <sheetViews>
    <sheetView showGridLines="0" zoomScale="90" zoomScaleNormal="90" workbookViewId="0">
      <selection activeCell="E38" sqref="E38"/>
    </sheetView>
  </sheetViews>
  <sheetFormatPr baseColWidth="10" defaultRowHeight="14.4" x14ac:dyDescent="0.3"/>
  <cols>
    <col min="1" max="1" width="5.5546875" customWidth="1"/>
    <col min="2" max="2" width="20.5546875" bestFit="1" customWidth="1"/>
    <col min="3" max="3" width="34" bestFit="1" customWidth="1"/>
    <col min="4" max="4" width="13.6640625" customWidth="1"/>
    <col min="5" max="5" width="15.44140625" hidden="1" customWidth="1"/>
    <col min="6" max="6" width="22.6640625" hidden="1" customWidth="1"/>
    <col min="7" max="7" width="18.33203125" hidden="1" customWidth="1"/>
    <col min="8" max="8" width="19.5546875" hidden="1" customWidth="1"/>
    <col min="9" max="9" width="9.33203125" hidden="1" customWidth="1"/>
    <col min="10" max="10" width="14.5546875" style="1" hidden="1" customWidth="1"/>
    <col min="11" max="11" width="13" style="1" hidden="1" customWidth="1"/>
    <col min="12" max="12" width="16.6640625" hidden="1" customWidth="1"/>
    <col min="13" max="13" width="4.6640625" hidden="1" customWidth="1"/>
    <col min="14" max="14" width="15.33203125" hidden="1" customWidth="1"/>
    <col min="15" max="15" width="12.33203125" hidden="1" customWidth="1"/>
    <col min="16" max="16" width="13.6640625" hidden="1" customWidth="1"/>
    <col min="17" max="17" width="16.33203125" hidden="1" customWidth="1"/>
    <col min="18" max="18" width="0" hidden="1" customWidth="1"/>
  </cols>
  <sheetData>
    <row r="4" spans="2:18" ht="25.8" x14ac:dyDescent="0.5">
      <c r="B4" s="155" t="s">
        <v>34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7" spans="2:18" ht="15.6" x14ac:dyDescent="0.3">
      <c r="B7" s="10" t="s">
        <v>0</v>
      </c>
      <c r="C7" s="10" t="s">
        <v>1</v>
      </c>
      <c r="D7" s="10" t="s">
        <v>2</v>
      </c>
      <c r="E7" s="10" t="s">
        <v>29</v>
      </c>
      <c r="F7" s="10" t="s">
        <v>3</v>
      </c>
      <c r="G7" s="10" t="s">
        <v>4</v>
      </c>
      <c r="H7" s="10" t="s">
        <v>5</v>
      </c>
      <c r="I7" s="10" t="s">
        <v>6</v>
      </c>
      <c r="J7" s="11" t="s">
        <v>7</v>
      </c>
      <c r="K7" s="11" t="s">
        <v>8</v>
      </c>
      <c r="L7" s="10" t="s">
        <v>27</v>
      </c>
      <c r="N7" s="47" t="s">
        <v>33</v>
      </c>
      <c r="O7" s="47" t="s">
        <v>8</v>
      </c>
      <c r="P7" s="47" t="s">
        <v>35</v>
      </c>
      <c r="Q7" s="47" t="s">
        <v>30</v>
      </c>
      <c r="R7" s="47" t="s">
        <v>36</v>
      </c>
    </row>
    <row r="8" spans="2:18" ht="15.6" x14ac:dyDescent="0.3">
      <c r="B8" s="22" t="s">
        <v>28</v>
      </c>
      <c r="C8" s="22" t="s">
        <v>11</v>
      </c>
      <c r="D8" s="38" t="s">
        <v>12</v>
      </c>
      <c r="E8" s="38" t="s">
        <v>30</v>
      </c>
      <c r="F8" s="44">
        <v>27716552</v>
      </c>
      <c r="G8" s="45">
        <v>42843</v>
      </c>
      <c r="H8" s="45">
        <v>42879</v>
      </c>
      <c r="I8" s="39">
        <f>+Tabla13[[#This Row],[Fecha Vencimiento]]-Tabla13[[#This Row],[Fecha de Emisión]]</f>
        <v>36</v>
      </c>
      <c r="J8" s="21">
        <f>+((Tabla13[[#This Row],[VALOR A GARANTIZAR]]*1.5%)/360)*30</f>
        <v>34645.689999999995</v>
      </c>
      <c r="K8" s="21">
        <f>+Tabla13[[#This Row],[COMISIÓN ]]*19%</f>
        <v>6582.6810999999989</v>
      </c>
      <c r="L8" s="20">
        <f>+Tabla13[[#This Row],[COMISIÓN ]]+Tabla13[[#This Row],[IVA]]</f>
        <v>41228.371099999997</v>
      </c>
      <c r="N8" s="46">
        <v>200000</v>
      </c>
      <c r="O8" s="46">
        <f>+N8*19%</f>
        <v>38000</v>
      </c>
      <c r="P8" s="46">
        <f>+N8+O8</f>
        <v>238000</v>
      </c>
      <c r="Q8" s="48">
        <v>238000</v>
      </c>
      <c r="R8" s="48">
        <f>+Tabla3[[#This Row],[total EEP]]-Tabla3[[#This Row],[BANCOLOMBIA]]</f>
        <v>0</v>
      </c>
    </row>
    <row r="9" spans="2:18" ht="15.6" x14ac:dyDescent="0.3">
      <c r="B9" s="12" t="s">
        <v>31</v>
      </c>
      <c r="C9" s="17" t="s">
        <v>13</v>
      </c>
      <c r="D9" s="10" t="s">
        <v>12</v>
      </c>
      <c r="E9" s="10" t="s">
        <v>30</v>
      </c>
      <c r="F9" s="16">
        <v>996883187</v>
      </c>
      <c r="G9" s="13">
        <v>42843</v>
      </c>
      <c r="H9" s="13">
        <v>42913</v>
      </c>
      <c r="I9" s="14">
        <f t="shared" ref="I9:I11" si="0">+H9-G9</f>
        <v>70</v>
      </c>
      <c r="J9" s="15">
        <f>+((Tabla13[[#This Row],[VALOR A GARANTIZAR]]*1.5%)/360)*30</f>
        <v>1246103.9837500001</v>
      </c>
      <c r="K9" s="15">
        <f>+Tabla13[[#This Row],[COMISIÓN ]]*19%</f>
        <v>236759.75691250002</v>
      </c>
      <c r="L9" s="16">
        <f>+Tabla13[[#This Row],[COMISIÓN ]]+Tabla13[[#This Row],[IVA]]</f>
        <v>1482863.7406625003</v>
      </c>
      <c r="N9" s="46">
        <f>+Tabla13[[#This Row],[COMISIÓN ]]</f>
        <v>1246103.9837500001</v>
      </c>
      <c r="O9" s="46">
        <f>+Tabla13[[#This Row],[IVA]]</f>
        <v>236759.75691250002</v>
      </c>
      <c r="P9" s="1">
        <f>+N9+O9</f>
        <v>1482863.7406625003</v>
      </c>
      <c r="Q9" s="48">
        <v>1482863.7406625003</v>
      </c>
      <c r="R9" s="48">
        <f>+Tabla3[[#This Row],[total EEP]]-Tabla3[[#This Row],[BANCOLOMBIA]]</f>
        <v>0</v>
      </c>
    </row>
    <row r="10" spans="2:18" ht="15.6" x14ac:dyDescent="0.3">
      <c r="B10" s="12" t="s">
        <v>28</v>
      </c>
      <c r="C10" s="17" t="s">
        <v>14</v>
      </c>
      <c r="D10" s="10" t="s">
        <v>15</v>
      </c>
      <c r="E10" s="10" t="s">
        <v>30</v>
      </c>
      <c r="F10" s="16">
        <v>43511026</v>
      </c>
      <c r="G10" s="13">
        <v>42843</v>
      </c>
      <c r="H10" s="13">
        <v>42913</v>
      </c>
      <c r="I10" s="14">
        <f t="shared" si="0"/>
        <v>70</v>
      </c>
      <c r="J10" s="15">
        <f>+((Tabla13[[#This Row],[VALOR A GARANTIZAR]]*1.5%)/360)*30</f>
        <v>54388.782500000001</v>
      </c>
      <c r="K10" s="15">
        <f>+Tabla13[[#This Row],[COMISIÓN ]]*19%</f>
        <v>10333.868675</v>
      </c>
      <c r="L10" s="16">
        <f>+Tabla13[[#This Row],[COMISIÓN ]]+Tabla13[[#This Row],[IVA]]</f>
        <v>64722.651174999999</v>
      </c>
      <c r="N10" s="46">
        <v>200000</v>
      </c>
      <c r="O10" s="46">
        <f>+N10*19%</f>
        <v>38000</v>
      </c>
      <c r="P10" s="46">
        <f>+N10+O10</f>
        <v>238000</v>
      </c>
      <c r="Q10" s="48">
        <v>238000</v>
      </c>
      <c r="R10" s="48">
        <f>+Tabla3[[#This Row],[total EEP]]-Tabla3[[#This Row],[BANCOLOMBIA]]</f>
        <v>0</v>
      </c>
    </row>
    <row r="11" spans="2:18" ht="15.6" x14ac:dyDescent="0.3">
      <c r="B11" s="12" t="s">
        <v>32</v>
      </c>
      <c r="C11" s="17" t="s">
        <v>14</v>
      </c>
      <c r="D11" s="10" t="s">
        <v>20</v>
      </c>
      <c r="E11" s="10" t="s">
        <v>30</v>
      </c>
      <c r="F11" s="16">
        <v>985814</v>
      </c>
      <c r="G11" s="13">
        <v>42843</v>
      </c>
      <c r="H11" s="13">
        <v>42913</v>
      </c>
      <c r="I11" s="14">
        <f t="shared" si="0"/>
        <v>70</v>
      </c>
      <c r="J11" s="15">
        <f>+((Tabla13[[#This Row],[VALOR A GARANTIZAR]]*1.5%)/360)*30</f>
        <v>1232.2674999999999</v>
      </c>
      <c r="K11" s="15">
        <f>+Tabla13[[#This Row],[COMISIÓN ]]*19%</f>
        <v>234.13082499999999</v>
      </c>
      <c r="L11" s="16">
        <f>+Tabla13[[#This Row],[COMISIÓN ]]+Tabla13[[#This Row],[IVA]]</f>
        <v>1466.3983249999999</v>
      </c>
      <c r="N11" s="46">
        <v>200000</v>
      </c>
      <c r="O11" s="46">
        <f>+N11*19%</f>
        <v>38000</v>
      </c>
      <c r="P11" s="46">
        <f>+N11+O11</f>
        <v>238000</v>
      </c>
      <c r="Q11" s="48">
        <v>239000</v>
      </c>
      <c r="R11" s="48">
        <f>+Tabla3[[#This Row],[total EEP]]-Tabla3[[#This Row],[BANCOLOMBIA]]</f>
        <v>-1000</v>
      </c>
    </row>
    <row r="12" spans="2:18" ht="15.6" x14ac:dyDescent="0.3">
      <c r="B12" s="22"/>
      <c r="C12" s="18"/>
      <c r="D12" s="19"/>
      <c r="E12" s="19"/>
      <c r="F12" s="20"/>
      <c r="G12" s="20"/>
      <c r="H12" s="20"/>
      <c r="I12" s="20"/>
      <c r="J12" s="21"/>
      <c r="K12" s="21"/>
      <c r="L12" s="20"/>
    </row>
    <row r="13" spans="2:18" ht="16.2" thickBot="1" x14ac:dyDescent="0.35">
      <c r="B13" s="22"/>
      <c r="C13" s="18"/>
      <c r="D13" s="19"/>
      <c r="E13" s="19"/>
      <c r="F13" s="20"/>
      <c r="G13" s="20"/>
      <c r="H13" s="20"/>
      <c r="I13" s="20"/>
      <c r="J13" s="21"/>
      <c r="K13" s="21"/>
      <c r="L13" s="20"/>
    </row>
    <row r="14" spans="2:18" ht="21" x14ac:dyDescent="0.4">
      <c r="C14" s="3" t="s">
        <v>16</v>
      </c>
      <c r="D14" s="4">
        <v>5.0000000000000001E-3</v>
      </c>
      <c r="E14" s="40"/>
    </row>
    <row r="15" spans="2:18" ht="21" x14ac:dyDescent="0.4">
      <c r="C15" s="5" t="s">
        <v>17</v>
      </c>
      <c r="D15" s="6">
        <v>360</v>
      </c>
      <c r="E15" s="41"/>
    </row>
    <row r="16" spans="2:18" ht="21" x14ac:dyDescent="0.4">
      <c r="C16" s="5" t="s">
        <v>8</v>
      </c>
      <c r="D16" s="7">
        <v>0.19</v>
      </c>
      <c r="E16" s="42"/>
    </row>
    <row r="17" spans="3:5" ht="21.6" thickBot="1" x14ac:dyDescent="0.45">
      <c r="C17" s="8" t="s">
        <v>18</v>
      </c>
      <c r="D17" s="9">
        <v>5.0000000000000001E-3</v>
      </c>
      <c r="E17" s="43"/>
    </row>
    <row r="18" spans="3:5" ht="21" x14ac:dyDescent="0.4">
      <c r="C18" s="2"/>
    </row>
    <row r="19" spans="3:5" ht="21" x14ac:dyDescent="0.4">
      <c r="C19" s="2"/>
    </row>
    <row r="20" spans="3:5" ht="21" x14ac:dyDescent="0.4">
      <c r="C20" s="2"/>
    </row>
    <row r="21" spans="3:5" ht="21" x14ac:dyDescent="0.4">
      <c r="C21" s="2"/>
    </row>
    <row r="22" spans="3:5" x14ac:dyDescent="0.3">
      <c r="C22" s="56" t="e">
        <f>+Hoja1!#REF!</f>
        <v>#REF!</v>
      </c>
    </row>
  </sheetData>
  <mergeCells count="1">
    <mergeCell ref="B4:L4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ssdp</vt:lpstr>
      <vt:lpstr>davivienda (2)</vt:lpstr>
      <vt:lpstr>Hoja7</vt:lpstr>
      <vt:lpstr>Banco</vt:lpstr>
      <vt:lpstr>Hoja5</vt:lpstr>
      <vt:lpstr>Hoja6</vt:lpstr>
      <vt:lpstr>Hoja1</vt:lpstr>
      <vt:lpstr>Hoja2</vt:lpstr>
      <vt:lpstr>Hoja1 (2)</vt:lpstr>
      <vt:lpstr>Hoja3</vt:lpstr>
      <vt:lpstr>Hoja4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A. Trujillo Garcia</dc:creator>
  <cp:lastModifiedBy>Luz A. Trujillo Garcia</cp:lastModifiedBy>
  <cp:lastPrinted>2021-12-28T13:27:41Z</cp:lastPrinted>
  <dcterms:created xsi:type="dcterms:W3CDTF">2017-02-23T13:29:30Z</dcterms:created>
  <dcterms:modified xsi:type="dcterms:W3CDTF">2022-04-12T22:41:43Z</dcterms:modified>
</cp:coreProperties>
</file>