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EPBACKUP\lgomezl\Desktop\INVITACIONES CUR, IVE, CIVILES\"/>
    </mc:Choice>
  </mc:AlternateContent>
  <xr:revisionPtr revIDLastSave="0" documentId="8_{5C3F4A7A-FC47-4C20-9C50-CFC8D927B61C}" xr6:coauthVersionLast="47" xr6:coauthVersionMax="47" xr10:uidLastSave="{00000000-0000-0000-0000-000000000000}"/>
  <bookViews>
    <workbookView xWindow="-120" yWindow="-120" windowWidth="20730" windowHeight="11160" tabRatio="826" xr2:uid="{00000000-000D-0000-FFFF-FFFF00000000}"/>
  </bookViews>
  <sheets>
    <sheet name="PRESU" sheetId="32" r:id="rId1"/>
    <sheet name="APU´S" sheetId="15" r:id="rId2"/>
  </sheets>
  <externalReferences>
    <externalReference r:id="rId3"/>
    <externalReference r:id="rId4"/>
  </externalReferences>
  <definedNames>
    <definedName name="Adm" localSheetId="1">'[1]ACTA 5'!#REF!</definedName>
    <definedName name="Adm">'[1]ACTA 5'!#REF!</definedName>
    <definedName name="CompanyAddress">#REF!</definedName>
    <definedName name="CompanyCity">#REF!</definedName>
    <definedName name="CompanyCountry">#REF!</definedName>
    <definedName name="CompanyName">#REF!</definedName>
    <definedName name="CompanyState">#REF!</definedName>
    <definedName name="CompanyZip">#REF!</definedName>
    <definedName name="DataDisplayed">"Ejemplo"</definedName>
    <definedName name="Imprev" localSheetId="1">'[1]ACTA 5'!#REF!</definedName>
    <definedName name="Imprev">'[1]ACTA 5'!#REF!</definedName>
    <definedName name="inf" localSheetId="1">#REF!</definedName>
    <definedName name="inf">#REF!</definedName>
    <definedName name="IvaSUtl" localSheetId="1">'[1]ACTA 5'!#REF!</definedName>
    <definedName name="IvaSUtl">'[1]ACTA 5'!#REF!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btPpto">'[1]ACTA 5'!$H$951</definedName>
    <definedName name="Slicer_Contact_Type">#N/A</definedName>
    <definedName name="tablonx">'[2]BASE DE DATOS'!#REF!</definedName>
    <definedName name="_xlnm.Print_Titles">#N/A</definedName>
    <definedName name="TtlCD" localSheetId="1">'[1]ACTA 5'!#REF!</definedName>
    <definedName name="TtlCD">'[1]ACTA 5'!#REF!</definedName>
    <definedName name="Utilidad" localSheetId="1">'[1]ACTA 5'!#REF!</definedName>
    <definedName name="Utilidad">'[1]ACTA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7" i="15" l="1"/>
  <c r="X357" i="15"/>
  <c r="Z357" i="15" s="1"/>
  <c r="AC357" i="15" s="1"/>
  <c r="W358" i="15"/>
  <c r="X358" i="15"/>
  <c r="Z358" i="15" s="1"/>
  <c r="AC358" i="15" s="1"/>
  <c r="W359" i="15"/>
  <c r="X359" i="15"/>
  <c r="Z359" i="15"/>
  <c r="AC359" i="15" s="1"/>
  <c r="W360" i="15"/>
  <c r="X360" i="15"/>
  <c r="Z360" i="15"/>
  <c r="AC360" i="15" s="1"/>
  <c r="Z361" i="15"/>
  <c r="AC361" i="15" s="1"/>
  <c r="Z362" i="15"/>
  <c r="AC362" i="15" s="1"/>
  <c r="W363" i="15"/>
  <c r="X363" i="15"/>
  <c r="Z363" i="15" s="1"/>
  <c r="AC363" i="15" s="1"/>
  <c r="W364" i="15"/>
  <c r="X364" i="15"/>
  <c r="Z364" i="15" s="1"/>
  <c r="AC364" i="15" s="1"/>
  <c r="W365" i="15"/>
  <c r="Z365" i="15"/>
  <c r="AC365" i="15" s="1"/>
  <c r="W366" i="15"/>
  <c r="X366" i="15"/>
  <c r="Z366" i="15" s="1"/>
  <c r="AC366" i="15" s="1"/>
  <c r="W367" i="15"/>
  <c r="X367" i="15"/>
  <c r="Z367" i="15" s="1"/>
  <c r="AC367" i="15" s="1"/>
  <c r="W368" i="15"/>
  <c r="Z368" i="15"/>
  <c r="AC368" i="15" s="1"/>
  <c r="W369" i="15"/>
  <c r="Z369" i="15" s="1"/>
  <c r="AC369" i="15" s="1"/>
  <c r="X369" i="15"/>
  <c r="W370" i="15"/>
  <c r="X370" i="15"/>
  <c r="Z370" i="15"/>
  <c r="AC370" i="15" s="1"/>
  <c r="X371" i="15"/>
  <c r="Z371" i="15"/>
  <c r="AC371" i="15" s="1"/>
  <c r="X372" i="15"/>
  <c r="Z372" i="15" s="1"/>
  <c r="AC372" i="15" s="1"/>
  <c r="X373" i="15"/>
  <c r="Z373" i="15" s="1"/>
  <c r="AC373" i="15" s="1"/>
  <c r="X374" i="15"/>
  <c r="Z374" i="15" s="1"/>
  <c r="AC374" i="15" s="1"/>
  <c r="AC375" i="15" l="1"/>
  <c r="D96" i="15"/>
  <c r="G423" i="15" l="1"/>
  <c r="G428" i="15" s="1"/>
  <c r="D255" i="15"/>
  <c r="D256" i="15"/>
  <c r="D254" i="15"/>
  <c r="D358" i="15"/>
  <c r="D355" i="15"/>
  <c r="D340" i="15"/>
  <c r="D339" i="15"/>
  <c r="D346" i="15" s="1"/>
  <c r="D343" i="15"/>
  <c r="E29" i="32"/>
  <c r="E26" i="32"/>
  <c r="E28" i="32"/>
  <c r="E27" i="32"/>
  <c r="D284" i="15"/>
  <c r="D282" i="15"/>
  <c r="D279" i="15"/>
  <c r="D278" i="15"/>
  <c r="D283" i="15" s="1"/>
  <c r="D354" i="15"/>
  <c r="D359" i="15" s="1"/>
  <c r="D356" i="15" l="1"/>
  <c r="D344" i="15"/>
  <c r="D280" i="15"/>
  <c r="D357" i="15"/>
  <c r="D360" i="15"/>
  <c r="D342" i="15" l="1"/>
  <c r="D281" i="15"/>
  <c r="D297" i="15" l="1"/>
  <c r="D294" i="15"/>
  <c r="D293" i="15"/>
  <c r="D299" i="15" s="1"/>
  <c r="D295" i="15" l="1"/>
  <c r="D296" i="15" s="1"/>
  <c r="D298" i="15"/>
  <c r="D328" i="15" l="1"/>
  <c r="D325" i="15"/>
  <c r="D324" i="15"/>
  <c r="D330" i="15" s="1"/>
  <c r="D312" i="15"/>
  <c r="D309" i="15"/>
  <c r="D308" i="15"/>
  <c r="D310" i="15" s="1"/>
  <c r="D311" i="15" s="1"/>
  <c r="D326" i="15" l="1"/>
  <c r="D327" i="15" s="1"/>
  <c r="D329" i="15"/>
  <c r="D269" i="15" l="1"/>
  <c r="D267" i="15"/>
  <c r="D264" i="15"/>
  <c r="D263" i="15"/>
  <c r="D265" i="15" s="1"/>
  <c r="D262" i="15"/>
  <c r="D370" i="15"/>
  <c r="D375" i="15" s="1"/>
  <c r="D371" i="15"/>
  <c r="D374" i="15"/>
  <c r="D249" i="15"/>
  <c r="D229" i="15"/>
  <c r="D247" i="15" s="1"/>
  <c r="D225" i="15"/>
  <c r="D226" i="15"/>
  <c r="D227" i="15" s="1"/>
  <c r="D251" i="15"/>
  <c r="D248" i="15"/>
  <c r="D268" i="15" l="1"/>
  <c r="D266" i="15"/>
  <c r="D372" i="15"/>
  <c r="D373" i="15" s="1"/>
  <c r="D376" i="15"/>
  <c r="D244" i="15"/>
  <c r="E34" i="32" l="1"/>
  <c r="E16" i="32"/>
  <c r="E13" i="32"/>
  <c r="D417" i="15"/>
  <c r="D416" i="15" l="1"/>
  <c r="D415" i="15"/>
  <c r="D413" i="15"/>
  <c r="D409" i="15"/>
  <c r="D412" i="15"/>
  <c r="D411" i="15"/>
  <c r="D410" i="15"/>
  <c r="C16" i="32" l="1"/>
  <c r="D125" i="15"/>
  <c r="D202" i="15" l="1"/>
  <c r="D158" i="15"/>
  <c r="D119" i="15"/>
  <c r="D120" i="15" l="1"/>
  <c r="D154" i="15" l="1"/>
  <c r="D155" i="15" l="1"/>
  <c r="G76" i="15"/>
  <c r="W393" i="15" l="1"/>
  <c r="AA393" i="15" s="1"/>
  <c r="W392" i="15"/>
  <c r="AA392" i="15" s="1"/>
  <c r="D398" i="15"/>
  <c r="AA391" i="15"/>
  <c r="AA390" i="15"/>
  <c r="D396" i="15"/>
  <c r="D395" i="15"/>
  <c r="D392" i="15"/>
  <c r="D391" i="15"/>
  <c r="X384" i="15"/>
  <c r="AB384" i="15" s="1"/>
  <c r="D390" i="15"/>
  <c r="X383" i="15"/>
  <c r="W383" i="15"/>
  <c r="AB382" i="15"/>
  <c r="X381" i="15"/>
  <c r="AB381" i="15" s="1"/>
  <c r="X380" i="15"/>
  <c r="W380" i="15"/>
  <c r="AB380" i="15" l="1"/>
  <c r="AB383" i="15"/>
  <c r="D393" i="15"/>
  <c r="D394" i="15" s="1"/>
  <c r="AA394" i="15"/>
  <c r="D399" i="15" s="1"/>
  <c r="AB385" i="15" l="1"/>
  <c r="D397" i="15" s="1"/>
  <c r="D224" i="15" l="1"/>
  <c r="D245" i="15"/>
  <c r="D230" i="15"/>
  <c r="D233" i="15"/>
  <c r="D246" i="15" l="1"/>
  <c r="D228" i="15"/>
  <c r="D313" i="15" l="1"/>
  <c r="D314" i="15"/>
  <c r="D213" i="15" l="1"/>
  <c r="D208" i="15"/>
  <c r="D205" i="15"/>
  <c r="X351" i="15"/>
  <c r="AA351" i="15" s="1"/>
  <c r="AA350" i="15"/>
  <c r="AA349" i="15"/>
  <c r="AA348" i="15"/>
  <c r="D201" i="15"/>
  <c r="AA347" i="15"/>
  <c r="D200" i="15"/>
  <c r="AA346" i="15"/>
  <c r="AA345" i="15"/>
  <c r="AA344" i="15"/>
  <c r="AA343" i="15"/>
  <c r="AA342" i="15"/>
  <c r="AA341" i="15"/>
  <c r="AA340" i="15"/>
  <c r="AA339" i="15"/>
  <c r="D203" i="15" l="1"/>
  <c r="D204" i="15" s="1"/>
  <c r="AA352" i="15"/>
  <c r="AB352" i="15"/>
  <c r="D206" i="15" l="1"/>
  <c r="D210" i="15" l="1"/>
  <c r="D121" i="15" l="1"/>
  <c r="D46" i="15" l="1"/>
  <c r="D45" i="15"/>
  <c r="D36" i="15" l="1"/>
  <c r="D35" i="15"/>
  <c r="F47" i="15"/>
  <c r="D44" i="15"/>
  <c r="D43" i="15"/>
  <c r="D42" i="15"/>
  <c r="F41" i="15"/>
  <c r="D39" i="15"/>
  <c r="D34" i="15"/>
  <c r="D32" i="15"/>
  <c r="F23" i="15"/>
  <c r="D21" i="15"/>
  <c r="D20" i="15"/>
  <c r="D19" i="15"/>
  <c r="F18" i="15"/>
  <c r="D16" i="15"/>
  <c r="D13" i="15"/>
  <c r="D12" i="15"/>
  <c r="D11" i="15"/>
  <c r="D9" i="15"/>
  <c r="D37" i="15" l="1"/>
  <c r="D38" i="15" s="1"/>
  <c r="D14" i="15"/>
  <c r="D15" i="15" s="1"/>
  <c r="D99" i="15" l="1"/>
  <c r="Y331" i="15" l="1"/>
  <c r="Y330" i="15"/>
  <c r="Y329" i="15"/>
  <c r="AB321" i="15"/>
  <c r="AB320" i="15"/>
  <c r="W320" i="15"/>
  <c r="W319" i="15"/>
  <c r="Z318" i="15"/>
  <c r="W318" i="15"/>
  <c r="W317" i="15"/>
  <c r="Y311" i="15"/>
  <c r="Y310" i="15"/>
  <c r="Y309" i="15"/>
  <c r="Y308" i="15"/>
  <c r="AB300" i="15"/>
  <c r="AB299" i="15"/>
  <c r="W297" i="15"/>
  <c r="Z300" i="15" s="1"/>
  <c r="W296" i="15"/>
  <c r="Z299" i="15" s="1"/>
  <c r="Z296" i="15"/>
  <c r="W295" i="15"/>
  <c r="Z298" i="15" s="1"/>
  <c r="Z295" i="15"/>
  <c r="W294" i="15"/>
  <c r="Z297" i="15" s="1"/>
  <c r="Z319" i="15" l="1"/>
  <c r="Z322" i="15"/>
  <c r="Z320" i="15"/>
  <c r="Z323" i="15" s="1"/>
  <c r="Z301" i="15"/>
  <c r="Z302" i="15" s="1"/>
  <c r="Y333" i="15"/>
  <c r="Y312" i="15"/>
  <c r="AK372" i="15" l="1"/>
  <c r="AK371" i="15"/>
  <c r="AK370" i="15"/>
  <c r="AK369" i="15"/>
  <c r="AN363" i="15"/>
  <c r="AL361" i="15"/>
  <c r="AH360" i="15"/>
  <c r="AL360" i="15" s="1"/>
  <c r="AK354" i="15"/>
  <c r="AK352" i="15"/>
  <c r="AK351" i="15"/>
  <c r="AL345" i="15"/>
  <c r="AH344" i="15"/>
  <c r="AL344" i="15" s="1"/>
  <c r="AL346" i="15" l="1"/>
  <c r="AK355" i="15"/>
  <c r="AK373" i="15"/>
  <c r="D232" i="15" s="1"/>
  <c r="D250" i="15" s="1"/>
  <c r="AL362" i="15"/>
  <c r="AL363" i="15" s="1"/>
  <c r="B105" i="15" l="1"/>
  <c r="D97" i="15"/>
  <c r="D85" i="15"/>
  <c r="D84" i="15"/>
  <c r="D83" i="15"/>
  <c r="D107" i="15"/>
  <c r="B81" i="15"/>
  <c r="D100" i="15" l="1"/>
  <c r="D98" i="15" l="1"/>
  <c r="D86" i="15"/>
  <c r="E30" i="15" l="1"/>
  <c r="F30" i="15" s="1"/>
  <c r="E31" i="15" l="1"/>
  <c r="F31" i="15" s="1"/>
  <c r="E19" i="15"/>
  <c r="F19" i="15" s="1"/>
  <c r="E7" i="15"/>
  <c r="F7" i="15" s="1"/>
  <c r="E33" i="15"/>
  <c r="F33" i="15" s="1"/>
  <c r="E10" i="15"/>
  <c r="F10" i="15" s="1"/>
  <c r="E8" i="15" l="1"/>
  <c r="F8" i="15" s="1"/>
  <c r="E42" i="15"/>
  <c r="F42" i="15" s="1"/>
  <c r="E21" i="15"/>
  <c r="F21" i="15" s="1"/>
  <c r="E46" i="15"/>
  <c r="E44" i="15" l="1"/>
  <c r="F44" i="15" s="1"/>
  <c r="G145" i="15"/>
  <c r="E15" i="15"/>
  <c r="F15" i="15" s="1"/>
  <c r="E38" i="15"/>
  <c r="F38" i="15" s="1"/>
  <c r="E37" i="15"/>
  <c r="F37" i="15" s="1"/>
  <c r="E45" i="15"/>
  <c r="F45" i="15" s="1"/>
  <c r="E16" i="15"/>
  <c r="F16" i="15" s="1"/>
  <c r="E39" i="15"/>
  <c r="F39" i="15" s="1"/>
  <c r="E43" i="15"/>
  <c r="F43" i="15" s="1"/>
  <c r="E20" i="15"/>
  <c r="F20" i="15" s="1"/>
  <c r="E17" i="15"/>
  <c r="F17" i="15" s="1"/>
  <c r="E40" i="15"/>
  <c r="F40" i="15" s="1"/>
  <c r="E11" i="15"/>
  <c r="F11" i="15" s="1"/>
  <c r="E34" i="15"/>
  <c r="F34" i="15" s="1"/>
  <c r="E22" i="15"/>
  <c r="F22" i="15" s="1"/>
  <c r="F46" i="15"/>
  <c r="E9" i="15"/>
  <c r="F9" i="15" s="1"/>
  <c r="E32" i="15"/>
  <c r="F32" i="15" s="1"/>
  <c r="G135" i="15" l="1"/>
  <c r="F110" i="15"/>
  <c r="Z321" i="15"/>
  <c r="F88" i="15"/>
  <c r="F51" i="32"/>
  <c r="G51" i="32" s="1"/>
  <c r="E14" i="15"/>
  <c r="F14" i="15" s="1"/>
  <c r="F53" i="32"/>
  <c r="G53" i="32" s="1"/>
  <c r="F54" i="32"/>
  <c r="G54" i="32" s="1"/>
  <c r="E12" i="15"/>
  <c r="F12" i="15" s="1"/>
  <c r="E35" i="15"/>
  <c r="F35" i="15" s="1"/>
  <c r="E13" i="15"/>
  <c r="F13" i="15" s="1"/>
  <c r="E36" i="15"/>
  <c r="F36" i="15" s="1"/>
  <c r="F160" i="15" l="1"/>
  <c r="F188" i="15"/>
  <c r="F102" i="15"/>
  <c r="Z317" i="15"/>
  <c r="Z324" i="15" s="1"/>
  <c r="F49" i="15"/>
  <c r="F56" i="32"/>
  <c r="G56" i="32" s="1"/>
  <c r="F48" i="32"/>
  <c r="G48" i="32" s="1"/>
  <c r="F49" i="32"/>
  <c r="G49" i="32" s="1"/>
  <c r="F52" i="32"/>
  <c r="F25" i="15"/>
  <c r="F237" i="15" l="1"/>
  <c r="F127" i="15"/>
  <c r="F174" i="15"/>
  <c r="F419" i="15"/>
  <c r="F401" i="15"/>
  <c r="F47" i="32"/>
  <c r="G47" i="32" s="1"/>
  <c r="F50" i="32"/>
  <c r="G50" i="32" s="1"/>
  <c r="F46" i="32"/>
  <c r="G46" i="32" s="1"/>
  <c r="F43" i="32"/>
  <c r="G43" i="32" s="1"/>
  <c r="F58" i="32"/>
  <c r="G58" i="32" s="1"/>
  <c r="F57" i="32"/>
  <c r="G57" i="32" s="1"/>
  <c r="F44" i="32"/>
  <c r="G44" i="32" s="1"/>
  <c r="F364" i="15" l="1"/>
  <c r="F217" i="15"/>
  <c r="F45" i="32"/>
  <c r="G45" i="32" s="1"/>
  <c r="F257" i="15" l="1"/>
  <c r="F380" i="15"/>
  <c r="F273" i="15"/>
  <c r="F288" i="15" l="1"/>
  <c r="F349" i="15"/>
  <c r="F334" i="15"/>
  <c r="F303" i="15"/>
  <c r="F318" i="15"/>
  <c r="G60" i="32" l="1"/>
  <c r="F55" i="32"/>
  <c r="G55" i="32" s="1"/>
  <c r="G62" i="32" l="1"/>
  <c r="G61" i="32" l="1"/>
  <c r="G63" i="32" s="1"/>
  <c r="G6" i="32" s="1"/>
  <c r="G8" i="32" s="1"/>
</calcChain>
</file>

<file path=xl/sharedStrings.xml><?xml version="1.0" encoding="utf-8"?>
<sst xmlns="http://schemas.openxmlformats.org/spreadsheetml/2006/main" count="1082" uniqueCount="280">
  <si>
    <t>UND</t>
  </si>
  <si>
    <t>CANT</t>
  </si>
  <si>
    <t>VLR. UNIT.</t>
  </si>
  <si>
    <t>m2</t>
  </si>
  <si>
    <t>m3</t>
  </si>
  <si>
    <t xml:space="preserve">COSTO DIRECTO </t>
  </si>
  <si>
    <t>ÍTEM</t>
  </si>
  <si>
    <t>DESCRIPCIÓN</t>
  </si>
  <si>
    <t>CANT.</t>
  </si>
  <si>
    <t>VLR. TOTAL</t>
  </si>
  <si>
    <t>Gl</t>
  </si>
  <si>
    <t>Día</t>
  </si>
  <si>
    <t>%MO</t>
  </si>
  <si>
    <t>Acarreo horizontal</t>
  </si>
  <si>
    <t>Vibrocompactador manual</t>
  </si>
  <si>
    <t>Kg</t>
  </si>
  <si>
    <t>ACPM</t>
  </si>
  <si>
    <t>Antisol blanco</t>
  </si>
  <si>
    <t>M2</t>
  </si>
  <si>
    <t>Herramienta menor (% mano obra)</t>
  </si>
  <si>
    <t>Arena</t>
  </si>
  <si>
    <t>Lt</t>
  </si>
  <si>
    <t>Cuadrilla A 1 Of + 4 Ay (jornal + prestaciones)</t>
  </si>
  <si>
    <t>M</t>
  </si>
  <si>
    <t>M3</t>
  </si>
  <si>
    <t xml:space="preserve">Agua </t>
  </si>
  <si>
    <t>UN</t>
  </si>
  <si>
    <t>un</t>
  </si>
  <si>
    <t>kg</t>
  </si>
  <si>
    <t>Dia</t>
  </si>
  <si>
    <t>ITEM</t>
  </si>
  <si>
    <t>Cerramiento provisional con señalizador y tela de cerramiento</t>
  </si>
  <si>
    <t>ml</t>
  </si>
  <si>
    <t>Señales preventivas</t>
  </si>
  <si>
    <t>Tubo PVC 4" tipo TDP por 6.00m</t>
  </si>
  <si>
    <t>Retiro de sobrantes a escombrera certificada</t>
  </si>
  <si>
    <t>Formaleta</t>
  </si>
  <si>
    <t>und</t>
  </si>
  <si>
    <t>CONTRATO  N°:</t>
  </si>
  <si>
    <t>OBJETO:</t>
  </si>
  <si>
    <t xml:space="preserve">VALOR INICIAL CONTRATO :  </t>
  </si>
  <si>
    <t xml:space="preserve">VALOR  ADICION : </t>
  </si>
  <si>
    <t xml:space="preserve">VALOR  DEL CONTRATO : </t>
  </si>
  <si>
    <t>CONTRATISTA :</t>
  </si>
  <si>
    <t>INTERVENTORIA :</t>
  </si>
  <si>
    <t>EMPRESA DE ENERGÍA DE PEREIRA</t>
  </si>
  <si>
    <t>DESCRIPCION</t>
  </si>
  <si>
    <t>VR / UNIT</t>
  </si>
  <si>
    <t>COSTO DIRECTO</t>
  </si>
  <si>
    <t>ADMINISTRACION</t>
  </si>
  <si>
    <t>UTILIDAD</t>
  </si>
  <si>
    <t>VALOR TOTAL</t>
  </si>
  <si>
    <t>APUS GENERALES</t>
  </si>
  <si>
    <t>Cerramiento con cinta de señalización, incluye señalizador tubular, dos cintas</t>
  </si>
  <si>
    <t>Desmonte de adoquines</t>
  </si>
  <si>
    <t>glb</t>
  </si>
  <si>
    <t>Trasiego de material sobrante al sitio de acopio</t>
  </si>
  <si>
    <t xml:space="preserve">Perforacion manual </t>
  </si>
  <si>
    <t>Concreto Impermeabilizado 20.7 MPa. (Grava de 1")</t>
  </si>
  <si>
    <t>Reinstalación de adoquín peatonal existente incluye arena</t>
  </si>
  <si>
    <t xml:space="preserve">UND - GBL </t>
  </si>
  <si>
    <t xml:space="preserve">Perforación Microtunel (4 Vías x 4") + Ducto TDP 4" incluye la tubería. </t>
  </si>
  <si>
    <t>Excavación en material común seco de 0 - 2 m manual</t>
  </si>
  <si>
    <t>UND - UND</t>
  </si>
  <si>
    <t>UND - M2</t>
  </si>
  <si>
    <t xml:space="preserve">Corte con disco de andén en concreto </t>
  </si>
  <si>
    <t>Demolición de anden en concreto e≈12cm</t>
  </si>
  <si>
    <t>Lleno compactado con material granular</t>
  </si>
  <si>
    <t>Malla Electrosoldada calibre 6mm (Ojo 15x15) (incluye alambre negro, colocación y traslapo).</t>
  </si>
  <si>
    <t>Escalera de gato D=3/4" L=1.1m+Anclaje+Epoxico</t>
  </si>
  <si>
    <t>Tapa de seguridad (D=50cm Lámina de acero cold-Rolled e=3/8")</t>
  </si>
  <si>
    <t xml:space="preserve">Curva de gran radio 4" a 6" incluye tuberia 3m </t>
  </si>
  <si>
    <t>Cerramiento rigido en madera para excavaciones h&lt;1,50m</t>
  </si>
  <si>
    <t>Corte de pavimento flexible con cortadora autopropulsada</t>
  </si>
  <si>
    <t>Demolición de concreto reforzado</t>
  </si>
  <si>
    <t>Demolición de muro en ladrillo macizo</t>
  </si>
  <si>
    <t>Concreto Impermeabilizado 20.7 MPa. (Grava de 1") Acelerado 7 dias</t>
  </si>
  <si>
    <t>Base en Afirmado su+ri+com</t>
  </si>
  <si>
    <t xml:space="preserve">Excavacion en sub base h=0-2 manual </t>
  </si>
  <si>
    <t>Base en arena de pega e=0.10m</t>
  </si>
  <si>
    <t xml:space="preserve">Lleno compactado con material de sitio </t>
  </si>
  <si>
    <t xml:space="preserve">Sub Base granular tipo MOPT/INVIAS con vibrocompactador </t>
  </si>
  <si>
    <t xml:space="preserve">Base granular tipo MOPT/INVIAS convibrocompactador </t>
  </si>
  <si>
    <t>Pavimento asfaltico caliente 70/90 con imprimación e=7cm Tipo Invias</t>
  </si>
  <si>
    <t>Pedestal en concreto 24 Mpa. (1.40X.20X.40h) para transformador</t>
  </si>
  <si>
    <t>Plaqueta prefabricada en C24MPa. (2,90x.20x.20h) incluye el refuerzo</t>
  </si>
  <si>
    <t xml:space="preserve">Rejilla angulo &lt; 11/4"x3/16" y platina de 1"x1/4" incluye transporte e instalacion </t>
  </si>
  <si>
    <t>Construcción de cubierta provisional para protección, incluye bordillo provisional en mortero para manejo de aguas sobre losa y adoquin</t>
  </si>
  <si>
    <t>Caja de paso para puesta a tierra 0,25 x 0,25 x 0,25 incluye tuberia L=2m</t>
  </si>
  <si>
    <t>Foso dren de (1,0x1,0x0,85h) lleno con triturado. Muros en concreto de 17,2 Mpa, e=0,1m con malla electrosoldada cal 6mm (ojo 0,15x0,15)</t>
  </si>
  <si>
    <t xml:space="preserve">Canalizacion Tubo conduit  de 1/2" a 3/4" incluye curva </t>
  </si>
  <si>
    <t>CAMARA C20.7MPa. IMPERM. 0.80X0.80X0.80h)  para redes de baja tensión (tapa en concreto)</t>
  </si>
  <si>
    <t xml:space="preserve">CAMARA C20.7MPa. IMPERM. 0.80X0.80X0.80h)  para redes de baja tensión (tapa en COLD ROLLED) </t>
  </si>
  <si>
    <t xml:space="preserve">Afloramiento pvc de 4" a 6" L= 3m incluye curva de gran radio en anden </t>
  </si>
  <si>
    <t>Afloramiento pvc de 4" a 6" L= 3m incluye curva de gran radio en tierra</t>
  </si>
  <si>
    <t xml:space="preserve">Retiro de plaquetas en cámara de transformador incluye corte de concreto, retiro y reinstalación de adoquines. </t>
  </si>
  <si>
    <t xml:space="preserve"> Desmonte de postes manual incluye anclajes de soporte en dados de concreto</t>
  </si>
  <si>
    <t xml:space="preserve">Resane con mortero para fachada y pintura </t>
  </si>
  <si>
    <t>Morterno de nivelacion para anden</t>
  </si>
  <si>
    <t>Ducto pvc de 1/2" a 3/4"  L=10m + curva en andén</t>
  </si>
  <si>
    <t>Ducto pvc de 1" a 2" L=10m + curva en andén</t>
  </si>
  <si>
    <t xml:space="preserve">Perforación Microtunel (4 Vías x 6") + Ducto TDP 6" incluye la tubería </t>
  </si>
  <si>
    <t xml:space="preserve">Caja de inspección de 40 x 40 para reparación domiciliarias alcantarillado </t>
  </si>
  <si>
    <t>Reparación de domiciliaria alcantarillado tuberia D ≤ 6" desarrollo 2m (incluye accesorios)</t>
  </si>
  <si>
    <t>(UND - UND)</t>
  </si>
  <si>
    <t xml:space="preserve"> (UND - UND)</t>
  </si>
  <si>
    <t>Retiro de plaquetas en cámara de transformador incluye corte de concreto, retiro y reinstalación de adoquines.</t>
  </si>
  <si>
    <t>Reparacion acometida  domiciliaria acueducto tuberia D ≤4" (incluye accesorios)</t>
  </si>
  <si>
    <t>ACERO</t>
  </si>
  <si>
    <t>LONG VARILLA</t>
  </si>
  <si>
    <t>CANT VARILLAS</t>
  </si>
  <si>
    <t>LADOS</t>
  </si>
  <si>
    <t>PESO</t>
  </si>
  <si>
    <t>TOTAL</t>
  </si>
  <si>
    <t>D</t>
  </si>
  <si>
    <t>TAPA</t>
  </si>
  <si>
    <t>PARRILLA</t>
  </si>
  <si>
    <t>1/2"</t>
  </si>
  <si>
    <t>DIAGONALES</t>
  </si>
  <si>
    <t>CONCRETO</t>
  </si>
  <si>
    <t>H</t>
  </si>
  <si>
    <t>ANCHO</t>
  </si>
  <si>
    <t>LARGO</t>
  </si>
  <si>
    <t xml:space="preserve">vol </t>
  </si>
  <si>
    <t>muros</t>
  </si>
  <si>
    <t>tapa</t>
  </si>
  <si>
    <t>DESCUENTO  DE COL ROLLED</t>
  </si>
  <si>
    <t xml:space="preserve">DESCUENTO TAPA COL </t>
  </si>
  <si>
    <t>MUROS</t>
  </si>
  <si>
    <t>V</t>
  </si>
  <si>
    <t>3/8"</t>
  </si>
  <si>
    <t>3/4"</t>
  </si>
  <si>
    <t>REFUERZO TAPA</t>
  </si>
  <si>
    <t>5/8"</t>
  </si>
  <si>
    <t xml:space="preserve"> CAMARA C20.7MPa. IMPERM. + C28MPa (1.50X1.50X1.50h) vehicular</t>
  </si>
  <si>
    <t xml:space="preserve">CAMARA C20.7MPa. IMPERM. 1.50X1.50X1.50h) peatonal </t>
  </si>
  <si>
    <t>Acero Fy = 60.000 psi d&gt;1/4" Co+Fi+Ar</t>
  </si>
  <si>
    <t>ACERO CARCAMO PEATONAL</t>
  </si>
  <si>
    <t>PISO</t>
  </si>
  <si>
    <t>LONG</t>
  </si>
  <si>
    <t>TRANSV</t>
  </si>
  <si>
    <t>CONCRETO CARCAMO PEATONAL</t>
  </si>
  <si>
    <t>CONCRETO trafo</t>
  </si>
  <si>
    <t>Descripcion</t>
  </si>
  <si>
    <t>cantidad</t>
  </si>
  <si>
    <t>long</t>
  </si>
  <si>
    <t>ancho</t>
  </si>
  <si>
    <t>alto</t>
  </si>
  <si>
    <t>Muros long</t>
  </si>
  <si>
    <t>Muros transv.</t>
  </si>
  <si>
    <t>Muros transv. Descuento de carcamos</t>
  </si>
  <si>
    <t>Piso</t>
  </si>
  <si>
    <t>Piso descuento foso dren</t>
  </si>
  <si>
    <t>vigas aereas  transv</t>
  </si>
  <si>
    <t>vigas aereas long</t>
  </si>
  <si>
    <t>vigas apoyadas transver</t>
  </si>
  <si>
    <t>vigas apoyadas long</t>
  </si>
  <si>
    <t>Losa (tapa)</t>
  </si>
  <si>
    <t>Descuento tapa cold rol</t>
  </si>
  <si>
    <t>ACERO TRAFO</t>
  </si>
  <si>
    <t>CANT VAR</t>
  </si>
  <si>
    <t>CARAS</t>
  </si>
  <si>
    <t>LONG TOTAL</t>
  </si>
  <si>
    <t>MUROS LONG.</t>
  </si>
  <si>
    <t>acero vert.</t>
  </si>
  <si>
    <t>acero horiz.</t>
  </si>
  <si>
    <t>MUROS TRANSV.</t>
  </si>
  <si>
    <t>LARGAS PISO</t>
  </si>
  <si>
    <t xml:space="preserve">PISO </t>
  </si>
  <si>
    <t>VIGAS</t>
  </si>
  <si>
    <t>APOYADA</t>
  </si>
  <si>
    <t>acero long</t>
  </si>
  <si>
    <t>flejes (al tercio)</t>
  </si>
  <si>
    <t>flejes (tercio medio)</t>
  </si>
  <si>
    <t>AÉREA</t>
  </si>
  <si>
    <t>LOSA</t>
  </si>
  <si>
    <t>PARRILLA SUPERIOR</t>
  </si>
  <si>
    <t>TRANS</t>
  </si>
  <si>
    <t>PARRILLA INFERIOR</t>
  </si>
  <si>
    <t xml:space="preserve">Puente peatonal en madera con pasamanos + señalización a=0,70m </t>
  </si>
  <si>
    <t>Formaleta para vaciado de muro, zapatas, vigas, placa en concreto y protección de equipos (cable seco)</t>
  </si>
  <si>
    <t>Total peso</t>
  </si>
  <si>
    <t>UND - ML</t>
  </si>
  <si>
    <t>CÁMARA DE TRANSFORMADOR C24 MPa. IMPERMEABILIZADO (3.60 m X  2.50 X 2.40 m Altura)</t>
  </si>
  <si>
    <t>UND - GLOB</t>
  </si>
  <si>
    <t xml:space="preserve">Carcamo peatonal C 20.7MPa. Impermeabilizado </t>
  </si>
  <si>
    <t xml:space="preserve">Construccion  Cámara de Transformador en C24MPa. Imperm. (3,60x2,50x2.4h). Concreto acelerado a 7 dias </t>
  </si>
  <si>
    <t>Asesor en salud ocupacional (dedicacion 100%)</t>
  </si>
  <si>
    <t xml:space="preserve">Vigilante </t>
  </si>
  <si>
    <t xml:space="preserve">Asesor electricista  (dedicacion 20%) contruccion de camara de transfomador </t>
  </si>
  <si>
    <t>ÍTEM 3. BANCO DE DUCTOS (4 vías x 4") SOBRE VÍA EN ASFALTO (UND - ML)</t>
  </si>
  <si>
    <t xml:space="preserve">2 señales cada 20m, </t>
  </si>
  <si>
    <t xml:space="preserve">Demolicion pavimento flexible e&gt;0,07m </t>
  </si>
  <si>
    <t>analizar si es necesario excavar mas del ancho que ocupan los tubos</t>
  </si>
  <si>
    <t>Cinta de señalización</t>
  </si>
  <si>
    <t>10cmx0,65cm + espacios a los lados</t>
  </si>
  <si>
    <t>espesor de pavimento???</t>
  </si>
  <si>
    <t>Pintura</t>
  </si>
  <si>
    <t>ÍTEM 3. BANCO DE DUCTOS (4 vías x 4") PAVIMENTO RIGIDO (UND - ML)</t>
  </si>
  <si>
    <t>Pavimento rigido  28 MPA acelerado 3 dias - MR= 4.1 kg/cm2</t>
  </si>
  <si>
    <t>PENDIENTES CENTRO</t>
  </si>
  <si>
    <t>RENDIMIENTO</t>
  </si>
  <si>
    <t>DESMONTE DE ADOQUINES</t>
  </si>
  <si>
    <t>REINSTALACION DE ADOQUIN PEATONAL EXISTENTE INCLUYE ARENA</t>
  </si>
  <si>
    <t>ANALISIS DE PRECIOS UNITARIOS PENDIENTES CENTRO</t>
  </si>
  <si>
    <t>Carcamo peatonal C 20.7MPa. Impermeabilizado</t>
  </si>
  <si>
    <t>GLB</t>
  </si>
  <si>
    <t>MES</t>
  </si>
  <si>
    <t>ÍTEM 1</t>
  </si>
  <si>
    <t>Tubo PVC 3" tipo TDP por 6.00m</t>
  </si>
  <si>
    <t>Perforacion manual microtunel</t>
  </si>
  <si>
    <t>UND- M2</t>
  </si>
  <si>
    <t>Cuadrilla G 1 Of +1 Ay (jornal + prestaciones)</t>
  </si>
  <si>
    <t>Cuadrilla G 1 Of + 1 Ay (jornal + prestaciones)</t>
  </si>
  <si>
    <t>Instalación de tapa de seguridad en lámina de acero cold-rolled e=3/8" PLACA ANDEN</t>
  </si>
  <si>
    <t>Instalacion Tapa de seguridad (D=50cm Lámina de acero cold-Rolled e=3/8")</t>
  </si>
  <si>
    <t>formaleta</t>
  </si>
  <si>
    <t>PLACA SUPERIOR DE CARCAMO EN C20.7 Mpa.(ANDÉN)  (1.0X 1.20 m Profundidad) incluye refuerzo.</t>
  </si>
  <si>
    <t xml:space="preserve"> </t>
  </si>
  <si>
    <t>acero de refuerzo</t>
  </si>
  <si>
    <t>Lamina de icopor para separacion</t>
  </si>
  <si>
    <t xml:space="preserve">    kg</t>
  </si>
  <si>
    <t xml:space="preserve">UND </t>
  </si>
  <si>
    <t>Cuadrilla A 1 Of + 2 Ay (jornal + prestaciones)</t>
  </si>
  <si>
    <t>Retiro, suministro e instalacion de  rejillas en platinas  metalicos para camara transformador</t>
  </si>
  <si>
    <t>Instalación de tapa de seguridad en lámina de acero cold-rolled e=3/8" EN PLACA DE CONCRETO (1,1*1,2 M)</t>
  </si>
  <si>
    <t>Suministro y regado de arena</t>
  </si>
  <si>
    <t>Plaquetas en C24 MPa. (2,90x.20x.20h) incluye el refuerzo</t>
  </si>
  <si>
    <t>BANCO DE DUCTOS (4 vías x 4") sobre anden (UND - ML)</t>
  </si>
  <si>
    <t>ÍTEM 3. BANCO DE DUCTOS (4 vías x 4") sobre anden (UND - ML)</t>
  </si>
  <si>
    <t xml:space="preserve">Sub Base granular (Afirmmdi) vibrocompactador </t>
  </si>
  <si>
    <t>Anden en concreto de 20,7 Mpa (3.000 psi) e = 0,10 m. (Terminado escobiado y acolillado).</t>
  </si>
  <si>
    <t>Camara de inspeccion 0,80*0,80*1 m Adoquin</t>
  </si>
  <si>
    <t>Camara de inspeccion 0,80*0,80*1 m Anden</t>
  </si>
  <si>
    <t>ÍTEM 2</t>
  </si>
  <si>
    <t>ÍTEM 3</t>
  </si>
  <si>
    <t>ÍTEM 4</t>
  </si>
  <si>
    <t>ÍTEM 5</t>
  </si>
  <si>
    <t>ÍTEM 6</t>
  </si>
  <si>
    <t>ÍTEM 7</t>
  </si>
  <si>
    <t>ÍTEM 8</t>
  </si>
  <si>
    <t>ÍTEM 9</t>
  </si>
  <si>
    <t>ÍTEM 10</t>
  </si>
  <si>
    <t>ÍTEM 11</t>
  </si>
  <si>
    <t>ÍTEM 12</t>
  </si>
  <si>
    <t>ÍTEM 13</t>
  </si>
  <si>
    <t>ÍTEM 14</t>
  </si>
  <si>
    <t>ÍTEM 15</t>
  </si>
  <si>
    <t>ÍTEM 16</t>
  </si>
  <si>
    <t>ÍTEM 17</t>
  </si>
  <si>
    <t>Ducto pvc de 1/2" a 3/4"  L=2,00 m a carcamo + curva en andén</t>
  </si>
  <si>
    <t>Ducto pvc de 1"  L=10m a camara de inspeccion o camara de barraje + curva en andén</t>
  </si>
  <si>
    <t xml:space="preserve">Canalizacion Tubo conduit  de 1"  incluye curva </t>
  </si>
  <si>
    <t xml:space="preserve">Canalizacion Tubo conduit  de 2" incluye curva </t>
  </si>
  <si>
    <t>ÍTEM 18</t>
  </si>
  <si>
    <t>Ducto pvc de 1"  L= de 1 a 10 m a camara de inspeccion o camara de barraje + curva en andén</t>
  </si>
  <si>
    <t>Ducto pvc de 11/2" y  2" L= de 1 a 10m a camara de inspeccion o camara de barraje + curva en andén</t>
  </si>
  <si>
    <t>Ducto pvc de 11/2" y  2" L=10m a camara de inspeccion o camara de barraje + curva en andén</t>
  </si>
  <si>
    <t>ÍTEM 19</t>
  </si>
  <si>
    <t>Ducto pvc de 1"  L= de 1 a 2 m a carcamo + curva en andén</t>
  </si>
  <si>
    <t>Afloramiento pvc de 3"L= de 1 a 2 m incluye curva de gran radio en anden</t>
  </si>
  <si>
    <t xml:space="preserve">Curva de gran radio 3" incluye tuberia 3m </t>
  </si>
  <si>
    <t>Ducto pvc de 1/2" a 3/4"  L=1 a 10 m a camara de inspeccion o barraje + curva en andén</t>
  </si>
  <si>
    <t>Ducto pvc de 11/2" y  2" L= de 1 a 10m a camara de inspeccion o camara de barraje + curva en adoquin</t>
  </si>
  <si>
    <t>Ducto pvc de 11/2" y  2" L=10m a camara de inspeccion o camara de barraje + curva en Adoquin</t>
  </si>
  <si>
    <t>Afloramiento pvc de 4" L= 3m incluye curva de gran radio en anden</t>
  </si>
  <si>
    <t>Afloramiento pvc de 4"  L= 6m incluye curva de gran radio en anden</t>
  </si>
  <si>
    <t>CAMARA C20.7MPa. IMPERM. 0.80X0.80X0.80h)  para redes de baja tensión (tapa en COLD ROLLED) EN ADOQUIN</t>
  </si>
  <si>
    <t>Demolicion de muro para direccionamiento de  carcamo o camara, retiro de sobrantes y emboquillado en concreto para perforacion microtunel</t>
  </si>
  <si>
    <t>CAMARA C20.7MPa. IMPERM. 0.80X0.80X0.80h)  para redes de baja tensión (tapa en COLD ROLLED) en Anden concreto.</t>
  </si>
  <si>
    <t>Cuadrilla E 1 Of + 2Ay (jornal + prestaciones)</t>
  </si>
  <si>
    <t>VIAJE</t>
  </si>
  <si>
    <t>Desmonte de Formaleta limpieza y retiro de material sobrante</t>
  </si>
  <si>
    <t>ÍTEM 20</t>
  </si>
  <si>
    <t>ÍTEM 21</t>
  </si>
  <si>
    <t>ÍTEM 22</t>
  </si>
  <si>
    <t>ÍTEM 23</t>
  </si>
  <si>
    <t>Alquiler de campamento (incluye servicios publicos)</t>
  </si>
  <si>
    <t>VR / TOTAL</t>
  </si>
  <si>
    <t>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</si>
</sst>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.0"/>
    <numFmt numFmtId="166" formatCode="_(* #,##0.00_);_(* \(#,##0.00\);_(* &quot;-&quot;??_);_(@_)"/>
    <numFmt numFmtId="167" formatCode="_-* #,##0.00\ _€_-;\-* #,##0.00\ _€_-;_-* &quot;-&quot;??\ _€_-;_-@_-"/>
    <numFmt numFmtId="168" formatCode="_-* #,##0.000\ _€_-;\-* #,##0.000\ _€_-;_-* &quot;-&quot;??\ _€_-;_-@_-"/>
    <numFmt numFmtId="169" formatCode="#,##0.000\ _€;\-#,##0.000\ _€"/>
    <numFmt numFmtId="170" formatCode="_(&quot;$&quot;\ * #,##0.00_);_(&quot;$&quot;\ * \(#,##0.00\);_(&quot;$&quot;\ * &quot;-&quot;??_);_(@_)"/>
    <numFmt numFmtId="171" formatCode="_(* #,##0_);_(* \(#,##0\);_(* &quot;-&quot;??_);_(@_)"/>
    <numFmt numFmtId="172" formatCode="&quot;$&quot;\ #,##0"/>
    <numFmt numFmtId="173" formatCode="_-&quot;$&quot;* #,##0.00_-;\-&quot;$&quot;* #,##0.00_-;_-&quot;$&quot;* &quot;-&quot;_-;_-@_-"/>
    <numFmt numFmtId="174" formatCode="#,##0.0000\ _€;\-#,##0.0000\ _€"/>
    <numFmt numFmtId="175" formatCode="0.000"/>
    <numFmt numFmtId="176" formatCode="#,##0.0;\-#,##0.0"/>
    <numFmt numFmtId="177" formatCode="#,##0.0000"/>
    <numFmt numFmtId="178" formatCode="#,##0.0000;\-#,##0.0000"/>
    <numFmt numFmtId="179" formatCode="_ * #,##0.00_ ;_ * \-#,##0.00_ ;_ * &quot;-&quot;??_ ;_ @_ "/>
    <numFmt numFmtId="180" formatCode="_-[$$-240A]\ * #,##0.00_-;\-[$$-240A]\ * #,##0.00_-;_-[$$-240A]\ * &quot;-&quot;??_-;_-@_-"/>
    <numFmt numFmtId="181" formatCode="#,##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charset val="134"/>
    </font>
    <font>
      <sz val="10"/>
      <name val="Courier"/>
      <family val="3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  <scheme val="minor"/>
    </font>
    <font>
      <i/>
      <sz val="12"/>
      <name val="Arial"/>
      <family val="2"/>
    </font>
    <font>
      <sz val="12"/>
      <color rgb="FF1F497D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3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center"/>
    </xf>
    <xf numFmtId="39" fontId="9" fillId="0" borderId="0"/>
    <xf numFmtId="0" fontId="10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70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5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7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75">
    <xf numFmtId="0" fontId="0" fillId="0" borderId="0" xfId="0"/>
    <xf numFmtId="0" fontId="0" fillId="0" borderId="0" xfId="0"/>
    <xf numFmtId="165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/>
    </xf>
    <xf numFmtId="44" fontId="3" fillId="0" borderId="4" xfId="2" applyFont="1" applyFill="1" applyBorder="1" applyAlignment="1">
      <alignment horizontal="center" vertical="center"/>
    </xf>
    <xf numFmtId="44" fontId="3" fillId="0" borderId="31" xfId="2" applyFont="1" applyFill="1" applyBorder="1" applyAlignment="1">
      <alignment horizontal="center" vertical="center"/>
    </xf>
    <xf numFmtId="166" fontId="6" fillId="0" borderId="42" xfId="22" applyFont="1" applyFill="1" applyBorder="1" applyAlignment="1">
      <alignment wrapText="1"/>
    </xf>
    <xf numFmtId="166" fontId="6" fillId="0" borderId="43" xfId="22" applyFont="1" applyFill="1" applyBorder="1" applyAlignment="1">
      <alignment wrapText="1"/>
    </xf>
    <xf numFmtId="172" fontId="6" fillId="0" borderId="48" xfId="21" applyNumberFormat="1" applyFont="1" applyBorder="1" applyAlignment="1">
      <alignment vertical="center" wrapText="1"/>
    </xf>
    <xf numFmtId="172" fontId="6" fillId="0" borderId="48" xfId="21" applyNumberFormat="1" applyFont="1" applyBorder="1" applyAlignment="1">
      <alignment wrapText="1"/>
    </xf>
    <xf numFmtId="0" fontId="6" fillId="0" borderId="0" xfId="21" applyFont="1" applyAlignment="1">
      <alignment wrapText="1"/>
    </xf>
    <xf numFmtId="0" fontId="2" fillId="0" borderId="0" xfId="21" applyFont="1" applyAlignment="1">
      <alignment horizontal="center" wrapText="1"/>
    </xf>
    <xf numFmtId="0" fontId="12" fillId="0" borderId="30" xfId="19" applyFont="1" applyBorder="1" applyAlignment="1">
      <alignment horizontal="center" vertical="center" wrapText="1"/>
    </xf>
    <xf numFmtId="0" fontId="6" fillId="0" borderId="47" xfId="21" applyFont="1" applyBorder="1" applyAlignment="1">
      <alignment vertical="center" wrapText="1"/>
    </xf>
    <xf numFmtId="0" fontId="2" fillId="0" borderId="30" xfId="21" applyFont="1" applyBorder="1" applyAlignment="1">
      <alignment vertical="center" wrapText="1"/>
    </xf>
    <xf numFmtId="0" fontId="2" fillId="0" borderId="4" xfId="21" applyFont="1" applyBorder="1" applyAlignment="1">
      <alignment horizontal="center" vertical="center" wrapText="1"/>
    </xf>
    <xf numFmtId="166" fontId="6" fillId="0" borderId="4" xfId="21" applyNumberFormat="1" applyFont="1" applyBorder="1" applyAlignment="1">
      <alignment vertical="center" wrapText="1"/>
    </xf>
    <xf numFmtId="173" fontId="2" fillId="0" borderId="31" xfId="23" applyNumberFormat="1" applyFont="1" applyBorder="1" applyAlignment="1">
      <alignment horizontal="center" vertical="center" wrapText="1"/>
    </xf>
    <xf numFmtId="0" fontId="6" fillId="0" borderId="49" xfId="21" applyFont="1" applyBorder="1" applyAlignment="1">
      <alignment vertical="center" wrapText="1"/>
    </xf>
    <xf numFmtId="0" fontId="2" fillId="0" borderId="54" xfId="21" applyFont="1" applyBorder="1" applyAlignment="1">
      <alignment vertical="center" wrapText="1"/>
    </xf>
    <xf numFmtId="0" fontId="2" fillId="0" borderId="52" xfId="21" applyFont="1" applyBorder="1" applyAlignment="1">
      <alignment vertical="center" wrapText="1"/>
    </xf>
    <xf numFmtId="173" fontId="2" fillId="0" borderId="53" xfId="23" applyNumberFormat="1" applyFont="1" applyBorder="1" applyAlignment="1">
      <alignment horizontal="center" vertical="center" wrapText="1"/>
    </xf>
    <xf numFmtId="44" fontId="15" fillId="0" borderId="0" xfId="2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center" vertical="center"/>
    </xf>
    <xf numFmtId="44" fontId="3" fillId="0" borderId="52" xfId="2" applyFont="1" applyFill="1" applyBorder="1" applyAlignment="1">
      <alignment horizontal="center" vertical="center"/>
    </xf>
    <xf numFmtId="44" fontId="3" fillId="0" borderId="53" xfId="2" applyFont="1" applyFill="1" applyBorder="1" applyAlignment="1">
      <alignment horizontal="center" vertical="center"/>
    </xf>
    <xf numFmtId="165" fontId="4" fillId="0" borderId="52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2" applyNumberFormat="1" applyFont="1" applyFill="1"/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4" xfId="17" applyFont="1" applyFill="1" applyBorder="1"/>
    <xf numFmtId="4" fontId="6" fillId="0" borderId="31" xfId="2" applyNumberFormat="1" applyFont="1" applyFill="1" applyBorder="1" applyAlignment="1">
      <alignment vertical="center"/>
    </xf>
    <xf numFmtId="4" fontId="6" fillId="0" borderId="31" xfId="2" applyNumberFormat="1" applyFont="1" applyFill="1" applyBorder="1"/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14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6" fillId="0" borderId="52" xfId="0" applyFont="1" applyBorder="1" applyAlignment="1">
      <alignment horizontal="center" vertical="center"/>
    </xf>
    <xf numFmtId="4" fontId="6" fillId="0" borderId="53" xfId="2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2" applyNumberFormat="1" applyFont="1" applyFill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5" xfId="2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4" fontId="6" fillId="0" borderId="0" xfId="2" applyNumberFormat="1" applyFont="1" applyFill="1" applyBorder="1"/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/>
    <xf numFmtId="0" fontId="6" fillId="0" borderId="4" xfId="0" applyFont="1" applyBorder="1"/>
    <xf numFmtId="0" fontId="2" fillId="0" borderId="4" xfId="14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4" fontId="6" fillId="0" borderId="4" xfId="17" applyFont="1" applyBorder="1"/>
    <xf numFmtId="170" fontId="7" fillId="0" borderId="0" xfId="15" applyFont="1" applyBorder="1"/>
    <xf numFmtId="0" fontId="6" fillId="0" borderId="4" xfId="14" applyFont="1" applyBorder="1"/>
    <xf numFmtId="164" fontId="2" fillId="2" borderId="34" xfId="20" applyFont="1" applyFill="1" applyBorder="1"/>
    <xf numFmtId="2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4" fontId="6" fillId="0" borderId="0" xfId="0" applyNumberFormat="1" applyFont="1" applyAlignment="1">
      <alignment horizontal="center"/>
    </xf>
    <xf numFmtId="4" fontId="6" fillId="0" borderId="0" xfId="17" applyFont="1" applyFill="1" applyBorder="1"/>
    <xf numFmtId="0" fontId="6" fillId="0" borderId="0" xfId="14" applyFont="1"/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6" xfId="14" applyFont="1" applyBorder="1" applyAlignment="1">
      <alignment horizontal="center"/>
    </xf>
    <xf numFmtId="0" fontId="2" fillId="0" borderId="28" xfId="14" applyFont="1" applyBorder="1" applyAlignment="1">
      <alignment horizontal="center"/>
    </xf>
    <xf numFmtId="0" fontId="2" fillId="0" borderId="4" xfId="14" applyFont="1" applyBorder="1" applyAlignment="1">
      <alignment horizontal="center"/>
    </xf>
    <xf numFmtId="0" fontId="2" fillId="0" borderId="4" xfId="14" applyFont="1" applyBorder="1" applyAlignment="1">
      <alignment horizontal="center" vertical="center" wrapText="1"/>
    </xf>
    <xf numFmtId="2" fontId="6" fillId="0" borderId="4" xfId="14" applyNumberFormat="1" applyFont="1" applyBorder="1"/>
    <xf numFmtId="0" fontId="6" fillId="0" borderId="4" xfId="14" applyFont="1" applyBorder="1" applyAlignment="1">
      <alignment horizontal="right"/>
    </xf>
    <xf numFmtId="0" fontId="2" fillId="0" borderId="27" xfId="14" applyFont="1" applyBorder="1" applyAlignment="1">
      <alignment horizontal="center"/>
    </xf>
    <xf numFmtId="0" fontId="2" fillId="0" borderId="0" xfId="14" applyFont="1" applyAlignment="1">
      <alignment horizontal="center"/>
    </xf>
    <xf numFmtId="0" fontId="18" fillId="0" borderId="0" xfId="14" applyFont="1"/>
    <xf numFmtId="2" fontId="6" fillId="0" borderId="4" xfId="14" applyNumberFormat="1" applyFont="1" applyBorder="1" applyAlignment="1">
      <alignment horizontal="center"/>
    </xf>
    <xf numFmtId="0" fontId="2" fillId="0" borderId="19" xfId="14" applyFont="1" applyBorder="1" applyAlignment="1">
      <alignment horizontal="center" vertical="center"/>
    </xf>
    <xf numFmtId="4" fontId="2" fillId="0" borderId="0" xfId="2" applyNumberFormat="1" applyFont="1" applyFill="1" applyBorder="1" applyAlignment="1">
      <alignment vertical="center"/>
    </xf>
    <xf numFmtId="171" fontId="11" fillId="0" borderId="0" xfId="18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6" fillId="0" borderId="0" xfId="6" applyFont="1" applyFill="1" applyBorder="1" applyAlignment="1">
      <alignment horizontal="center" vertical="center" wrapText="1"/>
    </xf>
    <xf numFmtId="170" fontId="7" fillId="0" borderId="0" xfId="15" applyFont="1" applyFill="1" applyBorder="1"/>
    <xf numFmtId="0" fontId="2" fillId="0" borderId="26" xfId="14" applyFont="1" applyBorder="1" applyAlignment="1">
      <alignment horizontal="center" vertical="center"/>
    </xf>
    <xf numFmtId="0" fontId="2" fillId="0" borderId="27" xfId="14" applyFont="1" applyBorder="1" applyAlignment="1">
      <alignment horizontal="center" vertical="center"/>
    </xf>
    <xf numFmtId="0" fontId="2" fillId="0" borderId="28" xfId="14" applyFont="1" applyBorder="1" applyAlignment="1">
      <alignment horizontal="center" vertical="center"/>
    </xf>
    <xf numFmtId="44" fontId="6" fillId="0" borderId="0" xfId="2" applyFont="1" applyFill="1"/>
    <xf numFmtId="0" fontId="6" fillId="0" borderId="4" xfId="14" applyFont="1" applyBorder="1" applyAlignment="1">
      <alignment horizontal="right" vertical="center"/>
    </xf>
    <xf numFmtId="2" fontId="6" fillId="0" borderId="27" xfId="14" applyNumberFormat="1" applyFont="1" applyBorder="1"/>
    <xf numFmtId="0" fontId="6" fillId="0" borderId="28" xfId="14" applyFont="1" applyBorder="1" applyAlignment="1">
      <alignment horizontal="right"/>
    </xf>
    <xf numFmtId="16" fontId="6" fillId="0" borderId="4" xfId="14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44" fontId="6" fillId="0" borderId="0" xfId="2" applyFont="1" applyFill="1" applyBorder="1"/>
    <xf numFmtId="0" fontId="2" fillId="0" borderId="26" xfId="14" applyFont="1" applyBorder="1" applyAlignment="1">
      <alignment horizontal="center" wrapText="1"/>
    </xf>
    <xf numFmtId="0" fontId="2" fillId="0" borderId="27" xfId="14" applyFont="1" applyBorder="1" applyAlignment="1">
      <alignment horizontal="center" wrapText="1"/>
    </xf>
    <xf numFmtId="0" fontId="2" fillId="0" borderId="28" xfId="14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4" fontId="6" fillId="0" borderId="0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40" xfId="21" applyFont="1" applyBorder="1" applyAlignment="1">
      <alignment vertical="center" wrapText="1"/>
    </xf>
    <xf numFmtId="0" fontId="2" fillId="0" borderId="37" xfId="21" applyFont="1" applyBorder="1" applyAlignment="1">
      <alignment vertical="center" wrapText="1"/>
    </xf>
    <xf numFmtId="0" fontId="6" fillId="0" borderId="38" xfId="21" applyFont="1" applyBorder="1" applyAlignment="1">
      <alignment horizontal="center" vertical="center" wrapText="1"/>
    </xf>
    <xf numFmtId="0" fontId="6" fillId="0" borderId="38" xfId="21" applyFont="1" applyBorder="1" applyAlignment="1">
      <alignment vertical="center" wrapText="1"/>
    </xf>
    <xf numFmtId="173" fontId="2" fillId="0" borderId="39" xfId="23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/>
    </xf>
    <xf numFmtId="0" fontId="6" fillId="0" borderId="0" xfId="19" quotePrefix="1" applyFont="1" applyAlignment="1">
      <alignment horizontal="center" vertical="center"/>
    </xf>
    <xf numFmtId="0" fontId="6" fillId="0" borderId="0" xfId="19" applyFont="1" applyAlignment="1">
      <alignment horizontal="left" vertical="center" wrapText="1"/>
    </xf>
    <xf numFmtId="0" fontId="6" fillId="0" borderId="0" xfId="19" applyFont="1" applyAlignment="1">
      <alignment horizontal="center" vertical="center"/>
    </xf>
    <xf numFmtId="3" fontId="6" fillId="0" borderId="0" xfId="19" applyNumberFormat="1" applyFont="1" applyAlignment="1">
      <alignment vertical="center"/>
    </xf>
    <xf numFmtId="2" fontId="6" fillId="0" borderId="4" xfId="14" applyNumberFormat="1" applyFont="1" applyBorder="1" applyAlignment="1">
      <alignment horizontal="center" vertical="center"/>
    </xf>
    <xf numFmtId="4" fontId="6" fillId="0" borderId="4" xfId="17" applyFont="1" applyFill="1" applyBorder="1" applyAlignment="1">
      <alignment horizontal="center" vertical="center"/>
    </xf>
    <xf numFmtId="4" fontId="6" fillId="0" borderId="26" xfId="17" applyFont="1" applyFill="1" applyBorder="1" applyAlignment="1">
      <alignment horizontal="center" vertical="center"/>
    </xf>
    <xf numFmtId="4" fontId="6" fillId="0" borderId="28" xfId="17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2" fontId="2" fillId="0" borderId="4" xfId="14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165" fontId="6" fillId="0" borderId="4" xfId="14" applyNumberFormat="1" applyFont="1" applyBorder="1" applyAlignment="1">
      <alignment horizontal="center" vertical="center"/>
    </xf>
    <xf numFmtId="175" fontId="6" fillId="0" borderId="4" xfId="14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14" xfId="14" applyNumberFormat="1" applyFont="1" applyBorder="1" applyAlignment="1">
      <alignment horizontal="center" vertical="center"/>
    </xf>
    <xf numFmtId="4" fontId="2" fillId="0" borderId="4" xfId="14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56" xfId="21" applyFont="1" applyBorder="1" applyAlignment="1">
      <alignment horizontal="center" vertical="center"/>
    </xf>
    <xf numFmtId="0" fontId="2" fillId="0" borderId="5" xfId="21" applyFont="1" applyBorder="1" applyAlignment="1">
      <alignment horizontal="center" vertical="center" wrapText="1"/>
    </xf>
    <xf numFmtId="0" fontId="2" fillId="0" borderId="55" xfId="21" applyFont="1" applyBorder="1" applyAlignment="1">
      <alignment horizontal="center" vertical="center" wrapText="1"/>
    </xf>
    <xf numFmtId="0" fontId="12" fillId="0" borderId="35" xfId="19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horizontal="center" vertical="center"/>
    </xf>
    <xf numFmtId="44" fontId="3" fillId="0" borderId="14" xfId="2" applyFont="1" applyFill="1" applyBorder="1" applyAlignment="1">
      <alignment horizontal="center" vertical="center"/>
    </xf>
    <xf numFmtId="44" fontId="3" fillId="0" borderId="36" xfId="2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44" fontId="3" fillId="0" borderId="18" xfId="2" applyFont="1" applyFill="1" applyBorder="1" applyAlignment="1">
      <alignment horizontal="center" vertical="center"/>
    </xf>
    <xf numFmtId="44" fontId="3" fillId="0" borderId="59" xfId="2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7" xfId="14" applyFont="1" applyBorder="1" applyAlignment="1">
      <alignment horizontal="center"/>
    </xf>
    <xf numFmtId="0" fontId="2" fillId="0" borderId="4" xfId="14" applyFont="1" applyBorder="1" applyAlignment="1">
      <alignment horizontal="center"/>
    </xf>
    <xf numFmtId="0" fontId="2" fillId="0" borderId="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26" xfId="14" applyFont="1" applyBorder="1" applyAlignment="1">
      <alignment horizontal="center" vertical="center"/>
    </xf>
    <xf numFmtId="0" fontId="2" fillId="0" borderId="18" xfId="14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4" fontId="4" fillId="0" borderId="4" xfId="2" applyFont="1" applyFill="1" applyBorder="1" applyAlignment="1">
      <alignment horizontal="center" vertical="center"/>
    </xf>
    <xf numFmtId="44" fontId="4" fillId="0" borderId="31" xfId="2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44" fontId="4" fillId="0" borderId="52" xfId="2" applyFont="1" applyFill="1" applyBorder="1" applyAlignment="1">
      <alignment horizontal="center" vertical="center"/>
    </xf>
    <xf numFmtId="44" fontId="4" fillId="0" borderId="53" xfId="2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2" fontId="6" fillId="4" borderId="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2" fontId="6" fillId="0" borderId="5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6" fillId="0" borderId="52" xfId="17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center" wrapText="1"/>
    </xf>
    <xf numFmtId="0" fontId="6" fillId="0" borderId="0" xfId="0" applyFont="1" applyBorder="1"/>
    <xf numFmtId="0" fontId="4" fillId="0" borderId="4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" fillId="0" borderId="4" xfId="14" applyFont="1" applyBorder="1" applyAlignment="1">
      <alignment horizontal="center" vertical="center" wrapText="1"/>
    </xf>
    <xf numFmtId="0" fontId="2" fillId="0" borderId="26" xfId="14" applyFont="1" applyBorder="1" applyAlignment="1">
      <alignment horizontal="center"/>
    </xf>
    <xf numFmtId="0" fontId="2" fillId="0" borderId="27" xfId="14" applyFont="1" applyBorder="1" applyAlignment="1">
      <alignment horizontal="center"/>
    </xf>
    <xf numFmtId="0" fontId="2" fillId="0" borderId="28" xfId="14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5" fillId="0" borderId="0" xfId="16" applyNumberFormat="1" applyFont="1" applyFill="1" applyBorder="1" applyAlignment="1">
      <alignment horizontal="center" vertical="center"/>
    </xf>
    <xf numFmtId="10" fontId="15" fillId="0" borderId="0" xfId="16" applyNumberFormat="1" applyFont="1" applyFill="1" applyBorder="1" applyAlignment="1">
      <alignment horizontal="center" vertical="center"/>
    </xf>
    <xf numFmtId="44" fontId="15" fillId="0" borderId="0" xfId="0" applyNumberFormat="1" applyFont="1" applyFill="1" applyBorder="1"/>
    <xf numFmtId="164" fontId="2" fillId="0" borderId="0" xfId="20" applyFont="1" applyFill="1" applyBorder="1"/>
    <xf numFmtId="0" fontId="2" fillId="0" borderId="0" xfId="0" applyFont="1" applyFill="1" applyBorder="1" applyAlignment="1">
      <alignment horizontal="center" vertical="center"/>
    </xf>
    <xf numFmtId="44" fontId="7" fillId="0" borderId="0" xfId="2" applyFont="1" applyFill="1" applyBorder="1"/>
    <xf numFmtId="44" fontId="7" fillId="0" borderId="0" xfId="0" applyNumberFormat="1" applyFont="1" applyFill="1" applyBorder="1"/>
    <xf numFmtId="0" fontId="2" fillId="0" borderId="0" xfId="14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2" fontId="6" fillId="0" borderId="0" xfId="14" applyNumberFormat="1" applyFont="1" applyBorder="1" applyAlignment="1">
      <alignment horizontal="center" vertical="center"/>
    </xf>
    <xf numFmtId="0" fontId="6" fillId="0" borderId="0" xfId="14" applyFont="1" applyBorder="1" applyAlignment="1">
      <alignment horizontal="center" vertical="center"/>
    </xf>
    <xf numFmtId="4" fontId="6" fillId="0" borderId="0" xfId="17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14" applyFont="1" applyBorder="1" applyAlignment="1">
      <alignment horizontal="center" vertical="center"/>
    </xf>
    <xf numFmtId="165" fontId="6" fillId="0" borderId="0" xfId="14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4" fontId="2" fillId="0" borderId="0" xfId="14" applyNumberFormat="1" applyFont="1" applyBorder="1" applyAlignment="1">
      <alignment horizontal="center" vertical="center"/>
    </xf>
    <xf numFmtId="44" fontId="6" fillId="0" borderId="9" xfId="2" applyFont="1" applyBorder="1" applyAlignment="1">
      <alignment vertical="center"/>
    </xf>
    <xf numFmtId="0" fontId="2" fillId="0" borderId="4" xfId="14" applyFont="1" applyBorder="1" applyAlignment="1">
      <alignment horizontal="center" vertical="center"/>
    </xf>
    <xf numFmtId="0" fontId="2" fillId="0" borderId="15" xfId="14" applyFont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26" xfId="14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14" applyFont="1" applyBorder="1" applyAlignment="1">
      <alignment horizontal="center"/>
    </xf>
    <xf numFmtId="0" fontId="2" fillId="0" borderId="28" xfId="14" applyFont="1" applyBorder="1" applyAlignment="1">
      <alignment horizontal="center"/>
    </xf>
    <xf numFmtId="0" fontId="2" fillId="0" borderId="4" xfId="14" applyFont="1" applyBorder="1" applyAlignment="1">
      <alignment horizontal="center" vertical="center" wrapText="1"/>
    </xf>
    <xf numFmtId="0" fontId="2" fillId="0" borderId="26" xfId="14" applyFont="1" applyBorder="1" applyAlignment="1">
      <alignment horizontal="center" vertical="center"/>
    </xf>
    <xf numFmtId="0" fontId="2" fillId="0" borderId="27" xfId="14" applyFont="1" applyBorder="1" applyAlignment="1">
      <alignment horizontal="center" vertical="center"/>
    </xf>
    <xf numFmtId="0" fontId="2" fillId="0" borderId="28" xfId="14" applyFont="1" applyBorder="1" applyAlignment="1">
      <alignment horizontal="center" vertical="center"/>
    </xf>
    <xf numFmtId="0" fontId="2" fillId="0" borderId="4" xfId="14" applyFont="1" applyBorder="1" applyAlignment="1">
      <alignment horizontal="center" vertical="center"/>
    </xf>
    <xf numFmtId="39" fontId="2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0" fontId="15" fillId="0" borderId="0" xfId="0" applyFont="1" applyBorder="1"/>
    <xf numFmtId="4" fontId="2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0" xfId="19" applyFont="1" applyFill="1" applyBorder="1" applyAlignment="1">
      <alignment vertical="center" wrapText="1"/>
    </xf>
    <xf numFmtId="0" fontId="6" fillId="0" borderId="0" xfId="19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65" fontId="6" fillId="0" borderId="0" xfId="19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19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/>
    <xf numFmtId="0" fontId="2" fillId="0" borderId="0" xfId="1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14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19" applyFont="1" applyFill="1" applyBorder="1"/>
    <xf numFmtId="0" fontId="6" fillId="0" borderId="0" xfId="0" applyFont="1" applyFill="1" applyBorder="1" applyAlignment="1">
      <alignment horizontal="left" vertical="center" wrapText="1"/>
    </xf>
    <xf numFmtId="165" fontId="6" fillId="0" borderId="0" xfId="14" applyNumberFormat="1" applyFont="1" applyFill="1" applyBorder="1" applyAlignment="1">
      <alignment horizontal="center" vertical="center"/>
    </xf>
    <xf numFmtId="0" fontId="6" fillId="0" borderId="0" xfId="14" applyFont="1" applyFill="1" applyBorder="1" applyAlignment="1">
      <alignment vertical="center" wrapText="1"/>
    </xf>
    <xf numFmtId="0" fontId="6" fillId="0" borderId="0" xfId="14" applyFont="1" applyFill="1" applyBorder="1" applyAlignment="1">
      <alignment horizontal="left" vertical="center" wrapText="1"/>
    </xf>
    <xf numFmtId="0" fontId="6" fillId="0" borderId="0" xfId="19" quotePrefix="1" applyFont="1" applyFill="1" applyBorder="1" applyAlignment="1">
      <alignment horizontal="center" vertical="center"/>
    </xf>
    <xf numFmtId="0" fontId="6" fillId="0" borderId="0" xfId="19" applyFont="1" applyFill="1" applyBorder="1" applyAlignment="1">
      <alignment horizontal="left" vertical="center" wrapText="1"/>
    </xf>
    <xf numFmtId="3" fontId="6" fillId="0" borderId="0" xfId="19" applyNumberFormat="1" applyFont="1" applyFill="1" applyBorder="1" applyAlignment="1">
      <alignment vertical="center"/>
    </xf>
    <xf numFmtId="0" fontId="0" fillId="0" borderId="0" xfId="0" applyFill="1" applyBorder="1"/>
    <xf numFmtId="44" fontId="0" fillId="0" borderId="0" xfId="2" applyFont="1" applyFill="1" applyBorder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44" fontId="20" fillId="0" borderId="0" xfId="2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4" fontId="4" fillId="0" borderId="0" xfId="27" applyNumberFormat="1" applyFont="1" applyFill="1" applyBorder="1" applyAlignment="1">
      <alignment horizontal="center"/>
    </xf>
    <xf numFmtId="44" fontId="4" fillId="0" borderId="0" xfId="2" applyFont="1" applyFill="1" applyBorder="1"/>
    <xf numFmtId="0" fontId="4" fillId="0" borderId="0" xfId="0" applyFont="1" applyFill="1" applyBorder="1"/>
    <xf numFmtId="0" fontId="4" fillId="0" borderId="0" xfId="27" applyFont="1" applyFill="1" applyBorder="1"/>
    <xf numFmtId="4" fontId="4" fillId="0" borderId="0" xfId="0" applyNumberFormat="1" applyFont="1" applyFill="1" applyBorder="1" applyAlignment="1">
      <alignment horizontal="center"/>
    </xf>
    <xf numFmtId="44" fontId="20" fillId="0" borderId="0" xfId="2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2" fillId="0" borderId="0" xfId="14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2" fontId="6" fillId="0" borderId="0" xfId="14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2" fontId="2" fillId="0" borderId="0" xfId="14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2" fillId="0" borderId="0" xfId="14" applyFont="1" applyFill="1" applyBorder="1" applyAlignment="1">
      <alignment horizontal="center" vertical="center" wrapText="1"/>
    </xf>
    <xf numFmtId="175" fontId="6" fillId="0" borderId="0" xfId="14" applyNumberFormat="1" applyFont="1" applyFill="1" applyBorder="1" applyAlignment="1">
      <alignment horizontal="center" vertical="center"/>
    </xf>
    <xf numFmtId="0" fontId="6" fillId="0" borderId="27" xfId="14" applyFont="1" applyBorder="1"/>
    <xf numFmtId="0" fontId="6" fillId="0" borderId="28" xfId="14" applyFont="1" applyBorder="1"/>
    <xf numFmtId="0" fontId="6" fillId="0" borderId="0" xfId="0" applyNumberFormat="1" applyFont="1" applyFill="1"/>
    <xf numFmtId="0" fontId="2" fillId="0" borderId="47" xfId="14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8" fillId="0" borderId="0" xfId="0" applyFont="1" applyFill="1" applyAlignment="1">
      <alignment vertical="center" wrapText="1"/>
    </xf>
    <xf numFmtId="0" fontId="12" fillId="0" borderId="30" xfId="19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39" fontId="7" fillId="0" borderId="0" xfId="0" applyNumberFormat="1" applyFont="1" applyFill="1" applyBorder="1" applyAlignment="1">
      <alignment horizontal="center"/>
    </xf>
    <xf numFmtId="2" fontId="6" fillId="3" borderId="4" xfId="14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4" fontId="6" fillId="0" borderId="0" xfId="2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6" fillId="0" borderId="4" xfId="14" applyNumberFormat="1" applyFont="1" applyFill="1" applyBorder="1"/>
    <xf numFmtId="0" fontId="6" fillId="0" borderId="4" xfId="14" applyFont="1" applyFill="1" applyBorder="1"/>
    <xf numFmtId="44" fontId="6" fillId="0" borderId="0" xfId="0" applyNumberFormat="1" applyFont="1" applyFill="1" applyAlignment="1">
      <alignment horizontal="center" vertical="center"/>
    </xf>
    <xf numFmtId="44" fontId="2" fillId="0" borderId="0" xfId="2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5" fontId="2" fillId="0" borderId="4" xfId="21" applyNumberFormat="1" applyFont="1" applyFill="1" applyBorder="1" applyAlignment="1">
      <alignment horizontal="center" vertical="center" wrapText="1"/>
    </xf>
    <xf numFmtId="175" fontId="2" fillId="0" borderId="4" xfId="16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6" fillId="0" borderId="4" xfId="14" applyFont="1" applyFill="1" applyBorder="1" applyAlignment="1">
      <alignment horizontal="center"/>
    </xf>
    <xf numFmtId="4" fontId="6" fillId="0" borderId="4" xfId="14" applyNumberFormat="1" applyFont="1" applyFill="1" applyBorder="1" applyAlignment="1">
      <alignment horizontal="center"/>
    </xf>
    <xf numFmtId="44" fontId="6" fillId="0" borderId="4" xfId="2" applyFont="1" applyFill="1" applyBorder="1"/>
    <xf numFmtId="44" fontId="6" fillId="0" borderId="31" xfId="2" applyFont="1" applyFill="1" applyBorder="1"/>
    <xf numFmtId="0" fontId="6" fillId="0" borderId="4" xfId="19" applyFont="1" applyFill="1" applyBorder="1" applyAlignment="1">
      <alignment wrapText="1"/>
    </xf>
    <xf numFmtId="0" fontId="6" fillId="0" borderId="4" xfId="19" applyFont="1" applyFill="1" applyBorder="1" applyAlignment="1">
      <alignment horizontal="center"/>
    </xf>
    <xf numFmtId="0" fontId="6" fillId="0" borderId="4" xfId="14" applyFont="1" applyFill="1" applyBorder="1" applyAlignment="1">
      <alignment wrapText="1"/>
    </xf>
    <xf numFmtId="164" fontId="2" fillId="0" borderId="34" xfId="20" applyFont="1" applyFill="1" applyBorder="1"/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44" fontId="6" fillId="0" borderId="4" xfId="2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center"/>
    </xf>
    <xf numFmtId="0" fontId="6" fillId="0" borderId="52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horizontal="center" vertical="center"/>
    </xf>
    <xf numFmtId="4" fontId="6" fillId="0" borderId="52" xfId="0" applyNumberFormat="1" applyFont="1" applyFill="1" applyBorder="1" applyAlignment="1">
      <alignment horizontal="center" vertical="center"/>
    </xf>
    <xf numFmtId="44" fontId="6" fillId="0" borderId="52" xfId="2" applyFont="1" applyFill="1" applyBorder="1"/>
    <xf numFmtId="0" fontId="2" fillId="0" borderId="3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6" fillId="0" borderId="30" xfId="0" quotePrefix="1" applyFont="1" applyFill="1" applyBorder="1" applyAlignment="1">
      <alignment horizontal="center" vertical="center"/>
    </xf>
    <xf numFmtId="0" fontId="6" fillId="0" borderId="4" xfId="19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4" fontId="2" fillId="0" borderId="34" xfId="2" applyNumberFormat="1" applyFont="1" applyFill="1" applyBorder="1" applyAlignment="1">
      <alignment horizontal="center" vertical="center"/>
    </xf>
    <xf numFmtId="0" fontId="6" fillId="0" borderId="35" xfId="14" applyFont="1" applyFill="1" applyBorder="1" applyAlignment="1">
      <alignment horizontal="center"/>
    </xf>
    <xf numFmtId="0" fontId="6" fillId="0" borderId="14" xfId="0" applyFont="1" applyFill="1" applyBorder="1" applyAlignment="1">
      <alignment wrapText="1"/>
    </xf>
    <xf numFmtId="0" fontId="6" fillId="0" borderId="14" xfId="14" applyFont="1" applyFill="1" applyBorder="1" applyAlignment="1">
      <alignment horizontal="center"/>
    </xf>
    <xf numFmtId="2" fontId="6" fillId="0" borderId="14" xfId="14" applyNumberFormat="1" applyFont="1" applyFill="1" applyBorder="1" applyAlignment="1">
      <alignment horizontal="center"/>
    </xf>
    <xf numFmtId="44" fontId="6" fillId="0" borderId="14" xfId="2" applyFont="1" applyFill="1" applyBorder="1"/>
    <xf numFmtId="44" fontId="6" fillId="0" borderId="36" xfId="2" applyFont="1" applyFill="1" applyBorder="1"/>
    <xf numFmtId="0" fontId="6" fillId="0" borderId="4" xfId="0" applyFont="1" applyFill="1" applyBorder="1" applyAlignment="1">
      <alignment horizontal="left" wrapText="1"/>
    </xf>
    <xf numFmtId="0" fontId="6" fillId="0" borderId="35" xfId="14" quotePrefix="1" applyFont="1" applyFill="1" applyBorder="1" applyAlignment="1">
      <alignment horizontal="center"/>
    </xf>
    <xf numFmtId="0" fontId="6" fillId="0" borderId="14" xfId="14" applyFont="1" applyFill="1" applyBorder="1" applyAlignment="1">
      <alignment wrapText="1"/>
    </xf>
    <xf numFmtId="4" fontId="6" fillId="0" borderId="4" xfId="0" applyNumberFormat="1" applyFont="1" applyFill="1" applyBorder="1" applyAlignment="1">
      <alignment vertical="center" wrapText="1"/>
    </xf>
    <xf numFmtId="0" fontId="6" fillId="0" borderId="30" xfId="14" quotePrefix="1" applyFont="1" applyFill="1" applyBorder="1" applyAlignment="1">
      <alignment horizontal="center"/>
    </xf>
    <xf numFmtId="2" fontId="6" fillId="0" borderId="4" xfId="14" applyNumberFormat="1" applyFont="1" applyFill="1" applyBorder="1" applyAlignment="1">
      <alignment horizontal="center"/>
    </xf>
    <xf numFmtId="0" fontId="6" fillId="0" borderId="4" xfId="14" applyFont="1" applyFill="1" applyBorder="1" applyAlignment="1">
      <alignment horizontal="center" vertical="center"/>
    </xf>
    <xf numFmtId="2" fontId="6" fillId="0" borderId="4" xfId="14" applyNumberFormat="1" applyFont="1" applyFill="1" applyBorder="1" applyAlignment="1">
      <alignment horizontal="center" vertical="center"/>
    </xf>
    <xf numFmtId="0" fontId="6" fillId="0" borderId="44" xfId="14" quotePrefix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vertical="center" wrapText="1"/>
    </xf>
    <xf numFmtId="0" fontId="6" fillId="0" borderId="15" xfId="14" applyFont="1" applyFill="1" applyBorder="1" applyAlignment="1">
      <alignment horizontal="center" vertical="center"/>
    </xf>
    <xf numFmtId="2" fontId="6" fillId="0" borderId="15" xfId="14" applyNumberFormat="1" applyFont="1" applyFill="1" applyBorder="1" applyAlignment="1">
      <alignment horizontal="center" vertical="center"/>
    </xf>
    <xf numFmtId="44" fontId="6" fillId="0" borderId="15" xfId="2" applyFont="1" applyFill="1" applyBorder="1" applyAlignment="1">
      <alignment vertical="center"/>
    </xf>
    <xf numFmtId="44" fontId="6" fillId="0" borderId="58" xfId="2" applyFont="1" applyFill="1" applyBorder="1"/>
    <xf numFmtId="0" fontId="6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3" xfId="0" applyFont="1" applyFill="1" applyBorder="1"/>
    <xf numFmtId="4" fontId="2" fillId="0" borderId="33" xfId="2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39" fontId="6" fillId="0" borderId="4" xfId="0" applyNumberFormat="1" applyFont="1" applyFill="1" applyBorder="1" applyAlignment="1">
      <alignment horizontal="left" vertical="center"/>
    </xf>
    <xf numFmtId="39" fontId="6" fillId="0" borderId="4" xfId="0" applyNumberFormat="1" applyFont="1" applyFill="1" applyBorder="1" applyAlignment="1">
      <alignment horizontal="center" vertical="center"/>
    </xf>
    <xf numFmtId="167" fontId="15" fillId="0" borderId="4" xfId="0" applyNumberFormat="1" applyFont="1" applyFill="1" applyBorder="1"/>
    <xf numFmtId="44" fontId="15" fillId="0" borderId="4" xfId="0" applyNumberFormat="1" applyFont="1" applyFill="1" applyBorder="1"/>
    <xf numFmtId="39" fontId="15" fillId="0" borderId="4" xfId="0" applyNumberFormat="1" applyFont="1" applyFill="1" applyBorder="1" applyAlignment="1">
      <alignment horizontal="center"/>
    </xf>
    <xf numFmtId="44" fontId="15" fillId="0" borderId="31" xfId="0" applyNumberFormat="1" applyFont="1" applyFill="1" applyBorder="1"/>
    <xf numFmtId="39" fontId="15" fillId="0" borderId="4" xfId="0" applyNumberFormat="1" applyFont="1" applyFill="1" applyBorder="1"/>
    <xf numFmtId="0" fontId="6" fillId="0" borderId="54" xfId="0" applyFont="1" applyFill="1" applyBorder="1" applyAlignment="1">
      <alignment horizontal="center" vertical="center"/>
    </xf>
    <xf numFmtId="39" fontId="6" fillId="0" borderId="52" xfId="0" applyNumberFormat="1" applyFont="1" applyFill="1" applyBorder="1" applyAlignment="1">
      <alignment horizontal="left" vertical="center"/>
    </xf>
    <xf numFmtId="39" fontId="6" fillId="0" borderId="52" xfId="0" applyNumberFormat="1" applyFont="1" applyFill="1" applyBorder="1" applyAlignment="1">
      <alignment horizontal="center" vertical="center"/>
    </xf>
    <xf numFmtId="167" fontId="15" fillId="0" borderId="52" xfId="0" applyNumberFormat="1" applyFont="1" applyFill="1" applyBorder="1"/>
    <xf numFmtId="44" fontId="15" fillId="0" borderId="52" xfId="0" applyNumberFormat="1" applyFont="1" applyFill="1" applyBorder="1"/>
    <xf numFmtId="39" fontId="15" fillId="0" borderId="52" xfId="0" applyNumberFormat="1" applyFont="1" applyFill="1" applyBorder="1"/>
    <xf numFmtId="44" fontId="15" fillId="0" borderId="53" xfId="0" applyNumberFormat="1" applyFont="1" applyFill="1" applyBorder="1"/>
    <xf numFmtId="0" fontId="2" fillId="0" borderId="3" xfId="0" applyFont="1" applyFill="1" applyBorder="1" applyAlignment="1">
      <alignment horizontal="left" vertical="center"/>
    </xf>
    <xf numFmtId="44" fontId="7" fillId="0" borderId="60" xfId="0" applyNumberFormat="1" applyFont="1" applyFill="1" applyBorder="1"/>
    <xf numFmtId="0" fontId="15" fillId="0" borderId="30" xfId="0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left" vertical="center"/>
    </xf>
    <xf numFmtId="44" fontId="6" fillId="0" borderId="4" xfId="0" applyNumberFormat="1" applyFont="1" applyFill="1" applyBorder="1" applyAlignment="1">
      <alignment horizontal="left" vertical="center"/>
    </xf>
    <xf numFmtId="44" fontId="6" fillId="0" borderId="31" xfId="0" applyNumberFormat="1" applyFont="1" applyFill="1" applyBorder="1" applyAlignment="1">
      <alignment horizontal="left" vertical="center"/>
    </xf>
    <xf numFmtId="0" fontId="15" fillId="0" borderId="54" xfId="0" applyFont="1" applyFill="1" applyBorder="1" applyAlignment="1">
      <alignment horizontal="center"/>
    </xf>
    <xf numFmtId="39" fontId="15" fillId="0" borderId="52" xfId="0" applyNumberFormat="1" applyFont="1" applyFill="1" applyBorder="1" applyAlignment="1">
      <alignment vertical="center"/>
    </xf>
    <xf numFmtId="39" fontId="15" fillId="0" borderId="52" xfId="0" applyNumberFormat="1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horizontal="center" vertical="center"/>
    </xf>
    <xf numFmtId="4" fontId="6" fillId="0" borderId="38" xfId="0" applyNumberFormat="1" applyFont="1" applyFill="1" applyBorder="1" applyAlignment="1">
      <alignment horizontal="center" vertical="center"/>
    </xf>
    <xf numFmtId="44" fontId="6" fillId="0" borderId="38" xfId="2" applyFont="1" applyFill="1" applyBorder="1"/>
    <xf numFmtId="44" fontId="6" fillId="0" borderId="31" xfId="2" applyFont="1" applyFill="1" applyBorder="1" applyAlignment="1">
      <alignment vertical="center"/>
    </xf>
    <xf numFmtId="0" fontId="6" fillId="0" borderId="30" xfId="19" applyFont="1" applyFill="1" applyBorder="1" applyAlignment="1">
      <alignment horizontal="center"/>
    </xf>
    <xf numFmtId="39" fontId="6" fillId="0" borderId="14" xfId="0" applyNumberFormat="1" applyFont="1" applyFill="1" applyBorder="1" applyAlignment="1">
      <alignment horizontal="left" vertical="center" wrapText="1"/>
    </xf>
    <xf numFmtId="164" fontId="2" fillId="0" borderId="21" xfId="3" applyFont="1" applyFill="1" applyBorder="1" applyAlignment="1">
      <alignment vertical="center"/>
    </xf>
    <xf numFmtId="0" fontId="2" fillId="0" borderId="32" xfId="0" applyFont="1" applyFill="1" applyBorder="1" applyAlignment="1">
      <alignment vertical="center" wrapText="1"/>
    </xf>
    <xf numFmtId="0" fontId="6" fillId="0" borderId="37" xfId="19" applyFont="1" applyFill="1" applyBorder="1" applyAlignment="1">
      <alignment horizontal="center"/>
    </xf>
    <xf numFmtId="0" fontId="6" fillId="0" borderId="38" xfId="19" applyFont="1" applyFill="1" applyBorder="1" applyAlignment="1">
      <alignment horizontal="center" vertical="center"/>
    </xf>
    <xf numFmtId="4" fontId="6" fillId="0" borderId="38" xfId="19" applyNumberFormat="1" applyFont="1" applyFill="1" applyBorder="1" applyAlignment="1">
      <alignment horizontal="center" vertical="center"/>
    </xf>
    <xf numFmtId="44" fontId="6" fillId="0" borderId="42" xfId="2" applyFont="1" applyFill="1" applyBorder="1" applyAlignment="1">
      <alignment vertical="center"/>
    </xf>
    <xf numFmtId="0" fontId="6" fillId="0" borderId="4" xfId="19" applyFont="1" applyFill="1" applyBorder="1" applyAlignment="1">
      <alignment horizontal="center" vertical="center"/>
    </xf>
    <xf numFmtId="4" fontId="6" fillId="0" borderId="4" xfId="19" applyNumberFormat="1" applyFont="1" applyFill="1" applyBorder="1" applyAlignment="1">
      <alignment horizontal="center" vertical="center"/>
    </xf>
    <xf numFmtId="44" fontId="6" fillId="0" borderId="26" xfId="2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wrapText="1"/>
    </xf>
    <xf numFmtId="4" fontId="6" fillId="0" borderId="4" xfId="19" applyNumberFormat="1" applyFont="1" applyFill="1" applyBorder="1" applyAlignment="1">
      <alignment horizontal="center"/>
    </xf>
    <xf numFmtId="44" fontId="6" fillId="0" borderId="26" xfId="2" applyFont="1" applyFill="1" applyBorder="1"/>
    <xf numFmtId="4" fontId="6" fillId="0" borderId="4" xfId="14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/>
    </xf>
    <xf numFmtId="44" fontId="15" fillId="0" borderId="26" xfId="2" applyFont="1" applyFill="1" applyBorder="1"/>
    <xf numFmtId="0" fontId="6" fillId="0" borderId="44" xfId="19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wrapText="1"/>
    </xf>
    <xf numFmtId="4" fontId="6" fillId="0" borderId="15" xfId="14" applyNumberFormat="1" applyFont="1" applyFill="1" applyBorder="1" applyAlignment="1">
      <alignment horizontal="center" vertical="center"/>
    </xf>
    <xf numFmtId="44" fontId="6" fillId="0" borderId="16" xfId="2" applyFont="1" applyFill="1" applyBorder="1" applyAlignment="1">
      <alignment vertical="center"/>
    </xf>
    <xf numFmtId="44" fontId="2" fillId="0" borderId="21" xfId="2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44" fontId="15" fillId="0" borderId="4" xfId="2" applyFont="1" applyFill="1" applyBorder="1"/>
    <xf numFmtId="0" fontId="6" fillId="0" borderId="35" xfId="19" applyFont="1" applyFill="1" applyBorder="1" applyAlignment="1">
      <alignment horizontal="center"/>
    </xf>
    <xf numFmtId="0" fontId="6" fillId="0" borderId="14" xfId="0" applyFont="1" applyFill="1" applyBorder="1" applyAlignment="1">
      <alignment vertical="center" wrapText="1"/>
    </xf>
    <xf numFmtId="0" fontId="6" fillId="0" borderId="14" xfId="19" applyFont="1" applyFill="1" applyBorder="1" applyAlignment="1">
      <alignment horizontal="center" vertical="center"/>
    </xf>
    <xf numFmtId="4" fontId="6" fillId="0" borderId="14" xfId="19" applyNumberFormat="1" applyFont="1" applyFill="1" applyBorder="1" applyAlignment="1">
      <alignment horizontal="center" vertical="center"/>
    </xf>
    <xf numFmtId="44" fontId="6" fillId="0" borderId="14" xfId="2" applyFont="1" applyFill="1" applyBorder="1" applyAlignment="1">
      <alignment vertical="center"/>
    </xf>
    <xf numFmtId="181" fontId="6" fillId="0" borderId="4" xfId="19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left"/>
    </xf>
    <xf numFmtId="39" fontId="6" fillId="0" borderId="52" xfId="0" applyNumberFormat="1" applyFont="1" applyFill="1" applyBorder="1" applyAlignment="1">
      <alignment horizontal="center"/>
    </xf>
    <xf numFmtId="0" fontId="6" fillId="0" borderId="0" xfId="19" applyFont="1" applyFill="1"/>
    <xf numFmtId="0" fontId="6" fillId="0" borderId="0" xfId="19" applyFont="1" applyFill="1" applyAlignment="1">
      <alignment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4" fontId="2" fillId="0" borderId="39" xfId="2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165" fontId="6" fillId="0" borderId="4" xfId="1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5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left" vertical="center" wrapText="1"/>
    </xf>
    <xf numFmtId="0" fontId="6" fillId="0" borderId="52" xfId="14" applyFont="1" applyFill="1" applyBorder="1" applyAlignment="1">
      <alignment horizontal="left" vertical="center" wrapText="1"/>
    </xf>
    <xf numFmtId="165" fontId="6" fillId="0" borderId="52" xfId="14" applyNumberFormat="1" applyFont="1" applyFill="1" applyBorder="1" applyAlignment="1">
      <alignment horizontal="center" vertical="center"/>
    </xf>
    <xf numFmtId="44" fontId="6" fillId="0" borderId="52" xfId="2" applyFont="1" applyFill="1" applyBorder="1" applyAlignment="1">
      <alignment vertical="center"/>
    </xf>
    <xf numFmtId="0" fontId="6" fillId="0" borderId="0" xfId="19" quotePrefix="1" applyFont="1" applyFill="1" applyAlignment="1">
      <alignment horizontal="center" vertical="center"/>
    </xf>
    <xf numFmtId="0" fontId="6" fillId="0" borderId="0" xfId="19" applyFont="1" applyFill="1" applyAlignment="1">
      <alignment horizontal="left" vertical="center" wrapText="1"/>
    </xf>
    <xf numFmtId="0" fontId="6" fillId="0" borderId="0" xfId="19" applyFont="1" applyFill="1" applyAlignment="1">
      <alignment horizontal="center" vertical="center"/>
    </xf>
    <xf numFmtId="3" fontId="6" fillId="0" borderId="0" xfId="19" applyNumberFormat="1" applyFont="1" applyFill="1" applyAlignment="1">
      <alignment vertical="center"/>
    </xf>
    <xf numFmtId="0" fontId="2" fillId="0" borderId="1" xfId="0" applyFont="1" applyFill="1" applyBorder="1" applyAlignment="1">
      <alignment wrapText="1"/>
    </xf>
    <xf numFmtId="44" fontId="2" fillId="0" borderId="38" xfId="2" applyFont="1" applyFill="1" applyBorder="1" applyAlignment="1">
      <alignment horizontal="center" vertical="center"/>
    </xf>
    <xf numFmtId="0" fontId="6" fillId="0" borderId="30" xfId="27" applyFont="1" applyFill="1" applyBorder="1" applyAlignment="1">
      <alignment horizontal="center"/>
    </xf>
    <xf numFmtId="0" fontId="6" fillId="0" borderId="4" xfId="27" applyFont="1" applyFill="1" applyBorder="1" applyAlignment="1">
      <alignment horizontal="center"/>
    </xf>
    <xf numFmtId="4" fontId="6" fillId="0" borderId="4" xfId="27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wrapText="1"/>
    </xf>
    <xf numFmtId="0" fontId="6" fillId="0" borderId="15" xfId="14" applyFont="1" applyFill="1" applyBorder="1" applyAlignment="1">
      <alignment horizontal="center"/>
    </xf>
    <xf numFmtId="4" fontId="6" fillId="0" borderId="15" xfId="14" applyNumberFormat="1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Alignment="1">
      <alignment horizontal="center" vertical="center"/>
    </xf>
    <xf numFmtId="44" fontId="6" fillId="0" borderId="0" xfId="2" applyFont="1" applyFill="1" applyAlignment="1">
      <alignment vertical="center"/>
    </xf>
    <xf numFmtId="0" fontId="6" fillId="0" borderId="44" xfId="27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4" fontId="6" fillId="0" borderId="15" xfId="2" applyFont="1" applyFill="1" applyBorder="1"/>
    <xf numFmtId="0" fontId="2" fillId="0" borderId="1" xfId="14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39" fontId="15" fillId="0" borderId="4" xfId="0" applyNumberFormat="1" applyFont="1" applyFill="1" applyBorder="1" applyAlignment="1">
      <alignment vertical="center"/>
    </xf>
    <xf numFmtId="0" fontId="6" fillId="0" borderId="4" xfId="0" applyFont="1" applyFill="1" applyBorder="1"/>
    <xf numFmtId="0" fontId="6" fillId="0" borderId="4" xfId="0" applyNumberFormat="1" applyFont="1" applyFill="1" applyBorder="1"/>
    <xf numFmtId="4" fontId="6" fillId="0" borderId="4" xfId="2" applyNumberFormat="1" applyFont="1" applyFill="1" applyBorder="1"/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44" fontId="2" fillId="0" borderId="21" xfId="2" applyFont="1" applyFill="1" applyBorder="1"/>
    <xf numFmtId="0" fontId="6" fillId="0" borderId="4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2" fontId="6" fillId="0" borderId="15" xfId="0" applyNumberFormat="1" applyFont="1" applyFill="1" applyBorder="1" applyAlignment="1">
      <alignment horizontal="center"/>
    </xf>
    <xf numFmtId="0" fontId="15" fillId="0" borderId="37" xfId="0" applyFont="1" applyFill="1" applyBorder="1"/>
    <xf numFmtId="0" fontId="7" fillId="0" borderId="3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4" fontId="7" fillId="0" borderId="31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44" fontId="15" fillId="0" borderId="4" xfId="2" applyFont="1" applyFill="1" applyBorder="1" applyAlignment="1">
      <alignment vertical="center"/>
    </xf>
    <xf numFmtId="44" fontId="15" fillId="0" borderId="31" xfId="2" applyFont="1" applyFill="1" applyBorder="1" applyAlignment="1">
      <alignment vertical="center"/>
    </xf>
    <xf numFmtId="0" fontId="7" fillId="0" borderId="44" xfId="0" applyFont="1" applyFill="1" applyBorder="1" applyAlignment="1">
      <alignment horizontal="center"/>
    </xf>
    <xf numFmtId="0" fontId="15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/>
    </xf>
    <xf numFmtId="2" fontId="15" fillId="0" borderId="15" xfId="0" applyNumberFormat="1" applyFont="1" applyFill="1" applyBorder="1" applyAlignment="1">
      <alignment horizontal="center" vertical="center"/>
    </xf>
    <xf numFmtId="44" fontId="15" fillId="0" borderId="15" xfId="2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4" xfId="0" applyFont="1" applyFill="1" applyBorder="1"/>
    <xf numFmtId="0" fontId="20" fillId="0" borderId="6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" fontId="2" fillId="0" borderId="0" xfId="2" applyNumberFormat="1" applyFont="1" applyFill="1" applyBorder="1"/>
    <xf numFmtId="0" fontId="6" fillId="0" borderId="15" xfId="0" applyFont="1" applyFill="1" applyBorder="1"/>
    <xf numFmtId="0" fontId="6" fillId="0" borderId="15" xfId="0" applyNumberFormat="1" applyFont="1" applyFill="1" applyBorder="1"/>
    <xf numFmtId="4" fontId="6" fillId="0" borderId="15" xfId="2" applyNumberFormat="1" applyFont="1" applyFill="1" applyBorder="1"/>
    <xf numFmtId="0" fontId="2" fillId="0" borderId="57" xfId="0" applyFont="1" applyFill="1" applyBorder="1" applyAlignment="1">
      <alignment horizontal="left" vertical="center"/>
    </xf>
    <xf numFmtId="44" fontId="2" fillId="0" borderId="34" xfId="2" applyFont="1" applyFill="1" applyBorder="1"/>
    <xf numFmtId="0" fontId="6" fillId="0" borderId="9" xfId="0" applyFont="1" applyFill="1" applyBorder="1"/>
    <xf numFmtId="4" fontId="6" fillId="0" borderId="10" xfId="2" applyNumberFormat="1" applyFont="1" applyFill="1" applyBorder="1"/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wrapText="1"/>
    </xf>
    <xf numFmtId="0" fontId="6" fillId="0" borderId="38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30" xfId="0" quotePrefix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52" xfId="0" applyFont="1" applyFill="1" applyBorder="1" applyAlignment="1">
      <alignment wrapText="1"/>
    </xf>
    <xf numFmtId="0" fontId="6" fillId="0" borderId="52" xfId="0" applyFont="1" applyFill="1" applyBorder="1" applyAlignment="1">
      <alignment horizontal="center"/>
    </xf>
    <xf numFmtId="2" fontId="6" fillId="0" borderId="52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4" xfId="14" applyFont="1" applyFill="1" applyBorder="1" applyAlignment="1">
      <alignment vertical="center" wrapText="1"/>
    </xf>
    <xf numFmtId="167" fontId="2" fillId="0" borderId="4" xfId="28" applyFont="1" applyFill="1" applyBorder="1" applyAlignment="1" applyProtection="1">
      <alignment horizontal="center" vertical="center"/>
    </xf>
    <xf numFmtId="44" fontId="2" fillId="0" borderId="4" xfId="2" applyFont="1" applyFill="1" applyBorder="1" applyAlignment="1">
      <alignment horizontal="right" vertical="center"/>
    </xf>
    <xf numFmtId="167" fontId="6" fillId="0" borderId="4" xfId="28" applyFont="1" applyFill="1" applyBorder="1" applyAlignment="1" applyProtection="1">
      <alignment horizontal="center" vertical="center"/>
    </xf>
    <xf numFmtId="167" fontId="6" fillId="0" borderId="4" xfId="1" applyNumberFormat="1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" fontId="2" fillId="0" borderId="5" xfId="2" applyNumberFormat="1" applyFont="1" applyFill="1" applyBorder="1" applyAlignment="1">
      <alignment horizontal="center"/>
    </xf>
    <xf numFmtId="39" fontId="16" fillId="0" borderId="4" xfId="6" applyNumberFormat="1" applyFont="1" applyFill="1" applyBorder="1" applyAlignment="1" applyProtection="1">
      <alignment horizontal="justify" vertical="center"/>
      <protection locked="0"/>
    </xf>
    <xf numFmtId="39" fontId="16" fillId="0" borderId="4" xfId="6" applyNumberFormat="1" applyFont="1" applyFill="1" applyBorder="1" applyAlignment="1" applyProtection="1">
      <alignment horizontal="center" vertical="center"/>
      <protection locked="0"/>
    </xf>
    <xf numFmtId="39" fontId="2" fillId="0" borderId="4" xfId="6" applyNumberFormat="1" applyFont="1" applyFill="1" applyBorder="1" applyAlignment="1">
      <alignment horizontal="center" vertical="center"/>
    </xf>
    <xf numFmtId="39" fontId="6" fillId="0" borderId="4" xfId="6" applyNumberFormat="1" applyFont="1" applyFill="1" applyBorder="1" applyAlignment="1">
      <alignment horizontal="center" vertical="center"/>
    </xf>
    <xf numFmtId="169" fontId="6" fillId="0" borderId="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4" fontId="7" fillId="0" borderId="20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44" fontId="2" fillId="0" borderId="34" xfId="2" applyFont="1" applyFill="1" applyBorder="1" applyAlignment="1">
      <alignment horizontal="right" vertical="center"/>
    </xf>
    <xf numFmtId="44" fontId="2" fillId="0" borderId="34" xfId="2" applyFont="1" applyFill="1" applyBorder="1" applyAlignment="1">
      <alignment vertical="center"/>
    </xf>
    <xf numFmtId="44" fontId="7" fillId="0" borderId="0" xfId="16" applyNumberFormat="1" applyFont="1" applyFill="1" applyBorder="1" applyAlignment="1">
      <alignment vertical="center"/>
    </xf>
    <xf numFmtId="39" fontId="7" fillId="0" borderId="0" xfId="16" applyNumberFormat="1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9" fontId="6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/>
    </xf>
    <xf numFmtId="44" fontId="15" fillId="0" borderId="0" xfId="16" applyNumberFormat="1" applyFont="1" applyFill="1" applyBorder="1" applyAlignment="1">
      <alignment vertical="center"/>
    </xf>
    <xf numFmtId="169" fontId="15" fillId="0" borderId="0" xfId="16" applyNumberFormat="1" applyFont="1" applyFill="1" applyBorder="1" applyAlignment="1">
      <alignment horizontal="center" vertical="center"/>
    </xf>
    <xf numFmtId="44" fontId="15" fillId="0" borderId="0" xfId="0" applyNumberFormat="1" applyFont="1" applyFill="1" applyBorder="1" applyAlignment="1">
      <alignment vertical="center"/>
    </xf>
    <xf numFmtId="39" fontId="15" fillId="0" borderId="0" xfId="16" applyNumberFormat="1" applyFont="1" applyFill="1" applyBorder="1" applyAlignment="1">
      <alignment horizontal="center" vertical="center"/>
    </xf>
    <xf numFmtId="39" fontId="15" fillId="0" borderId="0" xfId="0" applyNumberFormat="1" applyFont="1" applyFill="1" applyBorder="1" applyAlignment="1">
      <alignment horizontal="center"/>
    </xf>
    <xf numFmtId="44" fontId="1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44" fontId="15" fillId="0" borderId="0" xfId="16" applyNumberFormat="1" applyFont="1" applyFill="1" applyBorder="1" applyAlignment="1">
      <alignment horizontal="center"/>
    </xf>
    <xf numFmtId="0" fontId="15" fillId="0" borderId="0" xfId="16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180" fontId="2" fillId="0" borderId="0" xfId="2" applyNumberFormat="1" applyFont="1" applyFill="1" applyBorder="1"/>
    <xf numFmtId="0" fontId="2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left" vertical="center"/>
    </xf>
    <xf numFmtId="180" fontId="6" fillId="0" borderId="0" xfId="2" applyNumberFormat="1" applyFont="1" applyFill="1" applyBorder="1"/>
    <xf numFmtId="4" fontId="2" fillId="0" borderId="0" xfId="2" applyNumberFormat="1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horizontal="left" vertical="center" wrapText="1"/>
    </xf>
    <xf numFmtId="167" fontId="22" fillId="0" borderId="0" xfId="0" applyNumberFormat="1" applyFont="1" applyFill="1" applyBorder="1" applyAlignment="1">
      <alignment horizontal="center" vertical="center"/>
    </xf>
    <xf numFmtId="44" fontId="22" fillId="0" borderId="0" xfId="0" applyNumberFormat="1" applyFont="1" applyFill="1" applyBorder="1" applyAlignment="1">
      <alignment horizontal="left" vertical="center"/>
    </xf>
    <xf numFmtId="39" fontId="22" fillId="0" borderId="0" xfId="0" applyNumberFormat="1" applyFont="1" applyFill="1" applyBorder="1" applyAlignment="1">
      <alignment horizontal="center" vertical="center"/>
    </xf>
    <xf numFmtId="180" fontId="2" fillId="0" borderId="0" xfId="2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left" vertical="center"/>
    </xf>
    <xf numFmtId="44" fontId="6" fillId="0" borderId="0" xfId="2" applyFont="1" applyFill="1" applyBorder="1" applyAlignment="1">
      <alignment vertical="center"/>
    </xf>
    <xf numFmtId="39" fontId="6" fillId="0" borderId="0" xfId="0" applyNumberFormat="1" applyFont="1" applyFill="1" applyBorder="1" applyAlignment="1">
      <alignment horizontal="left" vertical="center"/>
    </xf>
    <xf numFmtId="174" fontId="6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4" fontId="23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/>
    <xf numFmtId="39" fontId="6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wrapText="1"/>
    </xf>
    <xf numFmtId="39" fontId="2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/>
    <xf numFmtId="39" fontId="2" fillId="0" borderId="0" xfId="2" applyNumberFormat="1" applyFont="1" applyFill="1" applyBorder="1" applyAlignment="1">
      <alignment horizontal="center"/>
    </xf>
    <xf numFmtId="39" fontId="6" fillId="0" borderId="0" xfId="0" applyNumberFormat="1" applyFont="1" applyFill="1" applyBorder="1" applyAlignment="1">
      <alignment wrapText="1"/>
    </xf>
    <xf numFmtId="167" fontId="6" fillId="0" borderId="0" xfId="0" applyNumberFormat="1" applyFont="1" applyFill="1" applyBorder="1" applyAlignment="1">
      <alignment horizontal="center"/>
    </xf>
    <xf numFmtId="44" fontId="6" fillId="0" borderId="0" xfId="0" applyNumberFormat="1" applyFont="1" applyFill="1" applyBorder="1"/>
    <xf numFmtId="39" fontId="6" fillId="0" borderId="0" xfId="2" applyNumberFormat="1" applyFont="1" applyFill="1" applyBorder="1" applyAlignment="1">
      <alignment horizontal="center"/>
    </xf>
    <xf numFmtId="39" fontId="6" fillId="0" borderId="0" xfId="0" applyNumberFormat="1" applyFont="1" applyFill="1" applyBorder="1"/>
    <xf numFmtId="39" fontId="6" fillId="0" borderId="0" xfId="0" applyNumberFormat="1" applyFont="1" applyFill="1" applyBorder="1" applyAlignment="1">
      <alignment vertical="center"/>
    </xf>
    <xf numFmtId="39" fontId="6" fillId="0" borderId="0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Border="1" applyAlignment="1">
      <alignment vertical="center"/>
    </xf>
    <xf numFmtId="39" fontId="6" fillId="0" borderId="0" xfId="2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center" vertical="center"/>
    </xf>
    <xf numFmtId="44" fontId="2" fillId="0" borderId="0" xfId="0" applyNumberFormat="1" applyFont="1" applyFill="1" applyBorder="1" applyAlignment="1">
      <alignment horizontal="left" vertical="center"/>
    </xf>
    <xf numFmtId="44" fontId="2" fillId="0" borderId="0" xfId="2" applyFont="1" applyFill="1" applyBorder="1" applyAlignment="1">
      <alignment vertical="center"/>
    </xf>
    <xf numFmtId="37" fontId="6" fillId="0" borderId="0" xfId="0" applyNumberFormat="1" applyFont="1" applyFill="1" applyBorder="1" applyAlignment="1">
      <alignment horizontal="center"/>
    </xf>
    <xf numFmtId="169" fontId="6" fillId="0" borderId="0" xfId="0" applyNumberFormat="1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center"/>
    </xf>
    <xf numFmtId="169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/>
    <xf numFmtId="175" fontId="15" fillId="0" borderId="0" xfId="0" applyNumberFormat="1" applyFont="1" applyFill="1" applyBorder="1" applyAlignment="1">
      <alignment horizontal="center"/>
    </xf>
    <xf numFmtId="168" fontId="15" fillId="0" borderId="0" xfId="0" applyNumberFormat="1" applyFont="1" applyFill="1" applyBorder="1" applyAlignment="1">
      <alignment horizontal="center"/>
    </xf>
    <xf numFmtId="174" fontId="15" fillId="0" borderId="0" xfId="0" applyNumberFormat="1" applyFont="1" applyFill="1" applyBorder="1" applyAlignment="1">
      <alignment horizontal="center"/>
    </xf>
    <xf numFmtId="3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39" fontId="6" fillId="0" borderId="0" xfId="0" applyNumberFormat="1" applyFont="1" applyFill="1" applyBorder="1" applyAlignment="1">
      <alignment horizontal="center"/>
    </xf>
    <xf numFmtId="44" fontId="6" fillId="0" borderId="0" xfId="0" applyNumberFormat="1" applyFont="1" applyFill="1" applyBorder="1" applyAlignment="1">
      <alignment horizontal="center"/>
    </xf>
    <xf numFmtId="169" fontId="6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7" fontId="15" fillId="0" borderId="0" xfId="0" applyNumberFormat="1" applyFont="1" applyFill="1" applyBorder="1" applyAlignment="1">
      <alignment horizontal="left"/>
    </xf>
    <xf numFmtId="176" fontId="6" fillId="0" borderId="0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left" vertical="center" wrapText="1"/>
    </xf>
    <xf numFmtId="37" fontId="6" fillId="0" borderId="0" xfId="0" applyNumberFormat="1" applyFont="1" applyFill="1" applyBorder="1" applyAlignment="1">
      <alignment horizontal="left" vertical="center"/>
    </xf>
    <xf numFmtId="9" fontId="15" fillId="0" borderId="0" xfId="0" applyNumberFormat="1" applyFont="1" applyFill="1" applyBorder="1" applyAlignment="1">
      <alignment horizontal="center"/>
    </xf>
    <xf numFmtId="39" fontId="7" fillId="0" borderId="0" xfId="0" applyNumberFormat="1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/>
    </xf>
    <xf numFmtId="176" fontId="15" fillId="0" borderId="0" xfId="0" applyNumberFormat="1" applyFont="1" applyFill="1" applyBorder="1" applyAlignment="1">
      <alignment horizontal="center"/>
    </xf>
    <xf numFmtId="0" fontId="2" fillId="0" borderId="0" xfId="19" applyFont="1" applyFill="1" applyBorder="1" applyAlignment="1">
      <alignment vertical="center"/>
    </xf>
    <xf numFmtId="0" fontId="6" fillId="0" borderId="0" xfId="19" applyFont="1" applyFill="1" applyBorder="1" applyAlignment="1">
      <alignment horizontal="center" vertical="center" wrapText="1"/>
    </xf>
    <xf numFmtId="0" fontId="6" fillId="0" borderId="0" xfId="19" applyNumberFormat="1" applyFont="1" applyFill="1" applyBorder="1" applyAlignment="1">
      <alignment vertical="center"/>
    </xf>
    <xf numFmtId="0" fontId="6" fillId="0" borderId="0" xfId="19" applyFont="1" applyFill="1" applyBorder="1" applyAlignment="1">
      <alignment vertical="center"/>
    </xf>
    <xf numFmtId="44" fontId="6" fillId="0" borderId="0" xfId="19" applyNumberFormat="1" applyFont="1" applyFill="1" applyBorder="1" applyAlignment="1">
      <alignment vertical="center"/>
    </xf>
    <xf numFmtId="2" fontId="6" fillId="0" borderId="0" xfId="19" applyNumberFormat="1" applyFont="1" applyFill="1" applyBorder="1" applyAlignment="1">
      <alignment horizontal="center" vertical="center"/>
    </xf>
    <xf numFmtId="180" fontId="6" fillId="0" borderId="0" xfId="2" applyNumberFormat="1" applyFont="1" applyFill="1" applyBorder="1" applyAlignment="1">
      <alignment vertical="center"/>
    </xf>
    <xf numFmtId="4" fontId="7" fillId="0" borderId="0" xfId="0" applyNumberFormat="1" applyFont="1" applyFill="1" applyBorder="1"/>
    <xf numFmtId="39" fontId="7" fillId="0" borderId="0" xfId="0" applyNumberFormat="1" applyFont="1" applyFill="1" applyBorder="1" applyAlignment="1">
      <alignment horizontal="left"/>
    </xf>
    <xf numFmtId="39" fontId="7" fillId="0" borderId="0" xfId="0" applyNumberFormat="1" applyFont="1" applyFill="1" applyBorder="1"/>
    <xf numFmtId="167" fontId="7" fillId="0" borderId="0" xfId="0" applyNumberFormat="1" applyFont="1" applyFill="1" applyBorder="1"/>
    <xf numFmtId="39" fontId="15" fillId="0" borderId="0" xfId="0" applyNumberFormat="1" applyFont="1" applyFill="1" applyBorder="1" applyAlignment="1">
      <alignment horizontal="left"/>
    </xf>
    <xf numFmtId="39" fontId="15" fillId="0" borderId="0" xfId="0" applyNumberFormat="1" applyFont="1" applyFill="1" applyBorder="1"/>
    <xf numFmtId="167" fontId="15" fillId="0" borderId="0" xfId="0" applyNumberFormat="1" applyFont="1" applyFill="1" applyBorder="1"/>
    <xf numFmtId="39" fontId="2" fillId="0" borderId="0" xfId="2" applyNumberFormat="1" applyFont="1" applyFill="1" applyBorder="1"/>
    <xf numFmtId="0" fontId="2" fillId="0" borderId="0" xfId="0" applyFont="1" applyFill="1" applyBorder="1" applyAlignment="1"/>
    <xf numFmtId="39" fontId="7" fillId="0" borderId="0" xfId="0" applyNumberFormat="1" applyFont="1" applyFill="1" applyBorder="1" applyAlignment="1">
      <alignment horizontal="center" wrapText="1"/>
    </xf>
    <xf numFmtId="39" fontId="15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6" fillId="0" borderId="50" xfId="21" applyFont="1" applyBorder="1" applyAlignment="1">
      <alignment horizontal="left" wrapText="1"/>
    </xf>
    <xf numFmtId="0" fontId="6" fillId="0" borderId="51" xfId="21" applyFont="1" applyBorder="1" applyAlignment="1">
      <alignment horizontal="left" wrapText="1"/>
    </xf>
    <xf numFmtId="0" fontId="6" fillId="0" borderId="6" xfId="21" applyFont="1" applyBorder="1" applyAlignment="1">
      <alignment horizontal="center" wrapText="1"/>
    </xf>
    <xf numFmtId="0" fontId="6" fillId="0" borderId="8" xfId="21" applyFont="1" applyBorder="1" applyAlignment="1">
      <alignment horizontal="center" wrapText="1"/>
    </xf>
    <xf numFmtId="0" fontId="6" fillId="0" borderId="9" xfId="21" applyFont="1" applyBorder="1" applyAlignment="1">
      <alignment horizontal="center" wrapText="1"/>
    </xf>
    <xf numFmtId="0" fontId="6" fillId="0" borderId="10" xfId="21" applyFont="1" applyBorder="1" applyAlignment="1">
      <alignment horizontal="center" wrapText="1"/>
    </xf>
    <xf numFmtId="0" fontId="6" fillId="0" borderId="11" xfId="21" applyFont="1" applyBorder="1" applyAlignment="1">
      <alignment horizontal="center" wrapText="1"/>
    </xf>
    <xf numFmtId="0" fontId="6" fillId="0" borderId="13" xfId="21" applyFont="1" applyBorder="1" applyAlignment="1">
      <alignment horizontal="center" wrapText="1"/>
    </xf>
    <xf numFmtId="0" fontId="6" fillId="0" borderId="40" xfId="21" applyFont="1" applyBorder="1" applyAlignment="1">
      <alignment horizontal="left"/>
    </xf>
    <xf numFmtId="0" fontId="6" fillId="0" borderId="41" xfId="21" applyFont="1" applyBorder="1" applyAlignment="1">
      <alignment horizontal="left"/>
    </xf>
    <xf numFmtId="0" fontId="6" fillId="0" borderId="44" xfId="21" applyFont="1" applyBorder="1" applyAlignment="1">
      <alignment horizontal="center" vertical="center" wrapText="1"/>
    </xf>
    <xf numFmtId="0" fontId="6" fillId="0" borderId="45" xfId="21" applyFont="1" applyBorder="1" applyAlignment="1">
      <alignment horizontal="center" vertical="center" wrapText="1"/>
    </xf>
    <xf numFmtId="0" fontId="6" fillId="0" borderId="35" xfId="21" applyFont="1" applyBorder="1" applyAlignment="1">
      <alignment horizontal="center" vertical="center" wrapText="1"/>
    </xf>
    <xf numFmtId="0" fontId="6" fillId="0" borderId="16" xfId="22" applyNumberFormat="1" applyFont="1" applyFill="1" applyBorder="1" applyAlignment="1">
      <alignment horizontal="center" vertical="center" wrapText="1"/>
    </xf>
    <xf numFmtId="0" fontId="6" fillId="0" borderId="23" xfId="22" applyNumberFormat="1" applyFont="1" applyFill="1" applyBorder="1" applyAlignment="1">
      <alignment horizontal="center" vertical="center" wrapText="1"/>
    </xf>
    <xf numFmtId="0" fontId="6" fillId="0" borderId="29" xfId="22" applyNumberFormat="1" applyFont="1" applyFill="1" applyBorder="1" applyAlignment="1">
      <alignment horizontal="center" vertical="center" wrapText="1"/>
    </xf>
    <xf numFmtId="0" fontId="6" fillId="0" borderId="17" xfId="22" applyNumberFormat="1" applyFont="1" applyFill="1" applyBorder="1" applyAlignment="1">
      <alignment horizontal="center" vertical="center" wrapText="1"/>
    </xf>
    <xf numFmtId="0" fontId="6" fillId="0" borderId="0" xfId="22" applyNumberFormat="1" applyFont="1" applyFill="1" applyBorder="1" applyAlignment="1">
      <alignment horizontal="center" vertical="center" wrapText="1"/>
    </xf>
    <xf numFmtId="0" fontId="6" fillId="0" borderId="10" xfId="22" applyNumberFormat="1" applyFont="1" applyFill="1" applyBorder="1" applyAlignment="1">
      <alignment horizontal="center" vertical="center" wrapText="1"/>
    </xf>
    <xf numFmtId="0" fontId="6" fillId="0" borderId="19" xfId="22" applyNumberFormat="1" applyFont="1" applyFill="1" applyBorder="1" applyAlignment="1">
      <alignment horizontal="center" vertical="center" wrapText="1"/>
    </xf>
    <xf numFmtId="0" fontId="6" fillId="0" borderId="22" xfId="22" applyNumberFormat="1" applyFont="1" applyFill="1" applyBorder="1" applyAlignment="1">
      <alignment horizontal="center" vertical="center" wrapText="1"/>
    </xf>
    <xf numFmtId="0" fontId="6" fillId="0" borderId="46" xfId="22" applyNumberFormat="1" applyFont="1" applyFill="1" applyBorder="1" applyAlignment="1">
      <alignment horizontal="center" vertical="center" wrapText="1"/>
    </xf>
    <xf numFmtId="0" fontId="6" fillId="0" borderId="47" xfId="21" applyFont="1" applyBorder="1" applyAlignment="1">
      <alignment horizontal="left" vertical="center"/>
    </xf>
    <xf numFmtId="0" fontId="6" fillId="0" borderId="27" xfId="21" applyFont="1" applyBorder="1" applyAlignment="1">
      <alignment horizontal="left" vertical="center"/>
    </xf>
    <xf numFmtId="0" fontId="6" fillId="0" borderId="47" xfId="21" applyFont="1" applyBorder="1" applyAlignment="1">
      <alignment horizontal="left"/>
    </xf>
    <xf numFmtId="0" fontId="6" fillId="0" borderId="27" xfId="21" applyFont="1" applyBorder="1" applyAlignment="1">
      <alignment horizontal="left"/>
    </xf>
    <xf numFmtId="0" fontId="6" fillId="0" borderId="48" xfId="21" applyFont="1" applyBorder="1" applyAlignment="1">
      <alignment horizontal="left"/>
    </xf>
    <xf numFmtId="0" fontId="6" fillId="0" borderId="49" xfId="21" applyFont="1" applyBorder="1" applyAlignment="1">
      <alignment horizontal="left"/>
    </xf>
    <xf numFmtId="0" fontId="6" fillId="0" borderId="50" xfId="2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9" fontId="2" fillId="0" borderId="6" xfId="0" applyNumberFormat="1" applyFont="1" applyFill="1" applyBorder="1" applyAlignment="1">
      <alignment horizontal="center" vertical="center" wrapText="1"/>
    </xf>
    <xf numFmtId="39" fontId="2" fillId="0" borderId="7" xfId="0" applyNumberFormat="1" applyFont="1" applyFill="1" applyBorder="1" applyAlignment="1">
      <alignment horizontal="center" vertical="center" wrapText="1"/>
    </xf>
    <xf numFmtId="39" fontId="2" fillId="0" borderId="8" xfId="0" applyNumberFormat="1" applyFont="1" applyFill="1" applyBorder="1" applyAlignment="1">
      <alignment horizontal="center" vertical="center" wrapText="1"/>
    </xf>
    <xf numFmtId="39" fontId="2" fillId="0" borderId="11" xfId="0" applyNumberFormat="1" applyFont="1" applyFill="1" applyBorder="1" applyAlignment="1">
      <alignment horizontal="center" vertical="center" wrapText="1"/>
    </xf>
    <xf numFmtId="39" fontId="2" fillId="0" borderId="12" xfId="0" applyNumberFormat="1" applyFont="1" applyFill="1" applyBorder="1" applyAlignment="1">
      <alignment horizontal="center" vertical="center" wrapText="1"/>
    </xf>
    <xf numFmtId="39" fontId="2" fillId="0" borderId="1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14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1" xfId="14" applyFont="1" applyFill="1" applyBorder="1" applyAlignment="1">
      <alignment horizontal="center" vertical="center" wrapText="1"/>
    </xf>
    <xf numFmtId="0" fontId="2" fillId="0" borderId="2" xfId="14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/>
    </xf>
    <xf numFmtId="0" fontId="2" fillId="0" borderId="2" xfId="14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2" fillId="0" borderId="62" xfId="14" applyFont="1" applyFill="1" applyBorder="1" applyAlignment="1">
      <alignment horizontal="center" vertical="center" wrapText="1"/>
    </xf>
    <xf numFmtId="0" fontId="2" fillId="0" borderId="57" xfId="14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15" xfId="14" applyFont="1" applyBorder="1" applyAlignment="1">
      <alignment horizontal="center" vertical="center" wrapText="1"/>
    </xf>
    <xf numFmtId="0" fontId="2" fillId="0" borderId="14" xfId="14" applyFont="1" applyBorder="1" applyAlignment="1">
      <alignment horizontal="center" vertical="center" wrapText="1"/>
    </xf>
    <xf numFmtId="0" fontId="2" fillId="0" borderId="15" xfId="14" applyFont="1" applyBorder="1" applyAlignment="1">
      <alignment horizontal="center" vertical="center"/>
    </xf>
    <xf numFmtId="0" fontId="2" fillId="0" borderId="14" xfId="14" applyFont="1" applyBorder="1" applyAlignment="1">
      <alignment horizontal="center" vertical="center"/>
    </xf>
    <xf numFmtId="0" fontId="2" fillId="0" borderId="26" xfId="14" applyFont="1" applyBorder="1" applyAlignment="1">
      <alignment horizontal="center"/>
    </xf>
    <xf numFmtId="0" fontId="2" fillId="0" borderId="27" xfId="14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6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5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14" applyFont="1" applyBorder="1" applyAlignment="1">
      <alignment horizontal="center" vertical="center" wrapText="1"/>
    </xf>
    <xf numFmtId="0" fontId="2" fillId="0" borderId="28" xfId="14" applyFont="1" applyBorder="1" applyAlignment="1">
      <alignment horizontal="center"/>
    </xf>
    <xf numFmtId="0" fontId="2" fillId="0" borderId="4" xfId="14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8" xfId="14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</cellXfs>
  <cellStyles count="34">
    <cellStyle name="Millares" xfId="1" builtinId="3"/>
    <cellStyle name="Millares [0] 2" xfId="10" xr:uid="{00000000-0005-0000-0000-000001000000}"/>
    <cellStyle name="Millares 18" xfId="31" xr:uid="{00000000-0005-0000-0000-000002000000}"/>
    <cellStyle name="Millares 2" xfId="4" xr:uid="{00000000-0005-0000-0000-000003000000}"/>
    <cellStyle name="Millares 2 2" xfId="17" xr:uid="{00000000-0005-0000-0000-000004000000}"/>
    <cellStyle name="Millares 2 2 2" xfId="32" xr:uid="{00000000-0005-0000-0000-000005000000}"/>
    <cellStyle name="Millares 20" xfId="29" xr:uid="{00000000-0005-0000-0000-000006000000}"/>
    <cellStyle name="Millares 21" xfId="28" xr:uid="{00000000-0005-0000-0000-000007000000}"/>
    <cellStyle name="Millares 22" xfId="26" xr:uid="{00000000-0005-0000-0000-000008000000}"/>
    <cellStyle name="Millares 3" xfId="18" xr:uid="{00000000-0005-0000-0000-000009000000}"/>
    <cellStyle name="Millares 4" xfId="24" xr:uid="{00000000-0005-0000-0000-00000A000000}"/>
    <cellStyle name="Millares 41" xfId="30" xr:uid="{00000000-0005-0000-0000-00000B000000}"/>
    <cellStyle name="Millares 8" xfId="25" xr:uid="{00000000-0005-0000-0000-00000C000000}"/>
    <cellStyle name="Millares_Actas de obra" xfId="22" xr:uid="{00000000-0005-0000-0000-00000D000000}"/>
    <cellStyle name="Moneda" xfId="2" builtinId="4"/>
    <cellStyle name="Moneda 2" xfId="3" xr:uid="{00000000-0005-0000-0000-00000F000000}"/>
    <cellStyle name="Moneda 2 2" xfId="20" xr:uid="{00000000-0005-0000-0000-000010000000}"/>
    <cellStyle name="Moneda 24" xfId="13" xr:uid="{00000000-0005-0000-0000-000011000000}"/>
    <cellStyle name="Moneda 3" xfId="8" xr:uid="{00000000-0005-0000-0000-000012000000}"/>
    <cellStyle name="Moneda 4" xfId="15" xr:uid="{00000000-0005-0000-0000-000013000000}"/>
    <cellStyle name="Moneda_Propuesta Ruben 2" xfId="23" xr:uid="{00000000-0005-0000-0000-000014000000}"/>
    <cellStyle name="Normal" xfId="0" builtinId="0"/>
    <cellStyle name="Normal 10" xfId="14" xr:uid="{00000000-0005-0000-0000-000016000000}"/>
    <cellStyle name="Normal 2" xfId="6" xr:uid="{00000000-0005-0000-0000-000017000000}"/>
    <cellStyle name="Normal 2 2" xfId="19" xr:uid="{00000000-0005-0000-0000-000018000000}"/>
    <cellStyle name="Normal 2 4" xfId="27" xr:uid="{00000000-0005-0000-0000-000019000000}"/>
    <cellStyle name="Normal 34" xfId="12" xr:uid="{00000000-0005-0000-0000-00001A000000}"/>
    <cellStyle name="Normal 4" xfId="7" xr:uid="{00000000-0005-0000-0000-00001B000000}"/>
    <cellStyle name="Normal 5" xfId="5" xr:uid="{00000000-0005-0000-0000-00001C000000}"/>
    <cellStyle name="Normal 5 2" xfId="11" xr:uid="{00000000-0005-0000-0000-00001D000000}"/>
    <cellStyle name="Normal_Actas de obra" xfId="21" xr:uid="{00000000-0005-0000-0000-00001E000000}"/>
    <cellStyle name="Porcentaje 2" xfId="16" xr:uid="{00000000-0005-0000-0000-00001F000000}"/>
    <cellStyle name="Porcentaje 3 2" xfId="33" xr:uid="{00000000-0005-0000-0000-000020000000}"/>
    <cellStyle name="Porcentual 3" xfId="9" xr:uid="{00000000-0005-0000-0000-000021000000}"/>
  </cellStyles>
  <dxfs count="0"/>
  <tableStyles count="0" defaultTableStyle="TableStyleMedium2" defaultPivotStyle="PivotStyleLight16"/>
  <colors>
    <mruColors>
      <color rgb="FFF8F196"/>
      <color rgb="FFFA90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47965</xdr:colOff>
      <xdr:row>3</xdr:row>
      <xdr:rowOff>50433</xdr:rowOff>
    </xdr:from>
    <xdr:to>
      <xdr:col>2</xdr:col>
      <xdr:colOff>2243818</xdr:colOff>
      <xdr:row>7</xdr:row>
      <xdr:rowOff>83377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965" y="640983"/>
          <a:ext cx="2195853" cy="804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jc/Desktop/TRUJILLO/ACTAS/ACTA%205%20TRUJILLO%202018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RECIOS%20UNITARIOS%202020-EXCELL%20GOB%20R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5"/>
      <sheetName val="1"/>
      <sheetName val="2"/>
      <sheetName val="3"/>
      <sheetName val="4"/>
      <sheetName val="5"/>
      <sheetName val="6"/>
      <sheetName val="10"/>
      <sheetName val="12"/>
      <sheetName val="14"/>
      <sheetName val="21"/>
      <sheetName val="40"/>
      <sheetName val="Ad Caseta"/>
      <sheetName val="Ad Saneamiento"/>
      <sheetName val="Obra Extra"/>
      <sheetName val="ANALISIS"/>
    </sheetNames>
    <sheetDataSet>
      <sheetData sheetId="0">
        <row r="570">
          <cell r="B570">
            <v>1</v>
          </cell>
        </row>
        <row r="951">
          <cell r="H951">
            <v>2358885842.4699998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MANO DE OBRA"/>
      <sheetName val="BASE DE DATOS"/>
      <sheetName val="Hoja1"/>
      <sheetName val="ANALISIS UNITARIOS"/>
      <sheetName val="ITEMS"/>
      <sheetName val="Datos de ejemplo"/>
      <sheetName val="TRANSPORTE"/>
    </sheetNames>
    <sheetDataSet>
      <sheetData sheetId="0"/>
      <sheetData sheetId="1">
        <row r="249">
          <cell r="C249" t="str">
            <v>Un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G63"/>
  <sheetViews>
    <sheetView tabSelected="1" topLeftCell="A16" zoomScale="70" zoomScaleNormal="70" workbookViewId="0">
      <selection activeCell="K39" sqref="K39"/>
    </sheetView>
  </sheetViews>
  <sheetFormatPr baseColWidth="10" defaultColWidth="11.42578125" defaultRowHeight="15"/>
  <cols>
    <col min="1" max="1" width="11.42578125" style="1"/>
    <col min="2" max="2" width="7" style="1" customWidth="1"/>
    <col min="3" max="3" width="56" style="1" customWidth="1"/>
    <col min="4" max="4" width="5.42578125" style="1" customWidth="1"/>
    <col min="5" max="5" width="14.42578125" style="1" customWidth="1"/>
    <col min="6" max="6" width="14.5703125" style="1" customWidth="1"/>
    <col min="7" max="7" width="31.140625" style="1" customWidth="1"/>
    <col min="8" max="10" width="11.42578125" style="1"/>
    <col min="11" max="11" width="74.28515625" style="1" customWidth="1"/>
    <col min="12" max="16384" width="11.42578125" style="1"/>
  </cols>
  <sheetData>
    <row r="1" spans="2:7" ht="15.75" thickBot="1"/>
    <row r="2" spans="2:7" ht="15.75">
      <c r="B2" s="655"/>
      <c r="C2" s="656"/>
      <c r="D2" s="661" t="s">
        <v>38</v>
      </c>
      <c r="E2" s="662"/>
      <c r="F2" s="7"/>
      <c r="G2" s="8"/>
    </row>
    <row r="3" spans="2:7">
      <c r="B3" s="657"/>
      <c r="C3" s="658"/>
      <c r="D3" s="663" t="s">
        <v>39</v>
      </c>
      <c r="E3" s="666" t="s">
        <v>200</v>
      </c>
      <c r="F3" s="667"/>
      <c r="G3" s="668"/>
    </row>
    <row r="4" spans="2:7">
      <c r="B4" s="657"/>
      <c r="C4" s="658"/>
      <c r="D4" s="664"/>
      <c r="E4" s="669"/>
      <c r="F4" s="670"/>
      <c r="G4" s="671"/>
    </row>
    <row r="5" spans="2:7">
      <c r="B5" s="657"/>
      <c r="C5" s="658"/>
      <c r="D5" s="665"/>
      <c r="E5" s="672"/>
      <c r="F5" s="673"/>
      <c r="G5" s="674"/>
    </row>
    <row r="6" spans="2:7">
      <c r="B6" s="657"/>
      <c r="C6" s="658"/>
      <c r="D6" s="675" t="s">
        <v>40</v>
      </c>
      <c r="E6" s="676"/>
      <c r="F6" s="676"/>
      <c r="G6" s="9">
        <f>+G63</f>
        <v>0</v>
      </c>
    </row>
    <row r="7" spans="2:7" ht="15.75">
      <c r="B7" s="657"/>
      <c r="C7" s="658"/>
      <c r="D7" s="677" t="s">
        <v>41</v>
      </c>
      <c r="E7" s="678"/>
      <c r="F7" s="678"/>
      <c r="G7" s="9">
        <v>0</v>
      </c>
    </row>
    <row r="8" spans="2:7" ht="15.75">
      <c r="B8" s="657"/>
      <c r="C8" s="658"/>
      <c r="D8" s="677" t="s">
        <v>42</v>
      </c>
      <c r="E8" s="678"/>
      <c r="F8" s="678"/>
      <c r="G8" s="10">
        <f>G6</f>
        <v>0</v>
      </c>
    </row>
    <row r="9" spans="2:7" ht="15.75">
      <c r="B9" s="657"/>
      <c r="C9" s="658"/>
      <c r="D9" s="677" t="s">
        <v>43</v>
      </c>
      <c r="E9" s="678"/>
      <c r="F9" s="678"/>
      <c r="G9" s="679"/>
    </row>
    <row r="10" spans="2:7" ht="16.5" thickBot="1">
      <c r="B10" s="659"/>
      <c r="C10" s="660"/>
      <c r="D10" s="680" t="s">
        <v>44</v>
      </c>
      <c r="E10" s="681"/>
      <c r="F10" s="653" t="s">
        <v>45</v>
      </c>
      <c r="G10" s="654"/>
    </row>
    <row r="11" spans="2:7" ht="16.5" thickBot="1">
      <c r="B11" s="11"/>
      <c r="C11" s="12"/>
      <c r="D11" s="12"/>
      <c r="E11" s="12"/>
      <c r="F11" s="12"/>
      <c r="G11" s="12"/>
    </row>
    <row r="12" spans="2:7" ht="31.5">
      <c r="B12" s="139" t="s">
        <v>30</v>
      </c>
      <c r="C12" s="140" t="s">
        <v>46</v>
      </c>
      <c r="D12" s="140" t="s">
        <v>0</v>
      </c>
      <c r="E12" s="140" t="s">
        <v>1</v>
      </c>
      <c r="F12" s="140" t="s">
        <v>47</v>
      </c>
      <c r="G12" s="141" t="s">
        <v>278</v>
      </c>
    </row>
    <row r="13" spans="2:7" ht="28.5">
      <c r="B13" s="13">
        <v>1</v>
      </c>
      <c r="C13" s="523" t="s">
        <v>61</v>
      </c>
      <c r="D13" s="3" t="s">
        <v>23</v>
      </c>
      <c r="E13" s="4">
        <f>11+11+14</f>
        <v>36</v>
      </c>
      <c r="F13" s="5"/>
      <c r="G13" s="6"/>
    </row>
    <row r="14" spans="2:7" ht="42.75">
      <c r="B14" s="13">
        <v>2</v>
      </c>
      <c r="C14" s="523" t="s">
        <v>268</v>
      </c>
      <c r="D14" s="3" t="s">
        <v>24</v>
      </c>
      <c r="E14" s="4">
        <v>2</v>
      </c>
      <c r="F14" s="5"/>
      <c r="G14" s="6"/>
    </row>
    <row r="15" spans="2:7" ht="37.5" customHeight="1">
      <c r="B15" s="13">
        <v>3</v>
      </c>
      <c r="C15" s="523" t="s">
        <v>224</v>
      </c>
      <c r="D15" s="3" t="s">
        <v>18</v>
      </c>
      <c r="E15" s="2">
        <v>9</v>
      </c>
      <c r="F15" s="5"/>
      <c r="G15" s="6"/>
    </row>
    <row r="16" spans="2:7" ht="30.95" customHeight="1">
      <c r="B16" s="13">
        <v>4</v>
      </c>
      <c r="C16" s="523" t="str">
        <f>APU´S!$B$113</f>
        <v>PLACA SUPERIOR DE CARCAMO EN C20.7 Mpa.(ANDÉN)  (1.0X 1.20 m Profundidad) incluye refuerzo.</v>
      </c>
      <c r="D16" s="3" t="s">
        <v>18</v>
      </c>
      <c r="E16" s="2">
        <f>2*1.2*1</f>
        <v>2.4</v>
      </c>
      <c r="F16" s="5"/>
      <c r="G16" s="6"/>
    </row>
    <row r="17" spans="2:7" s="290" customFormat="1" ht="21.6" customHeight="1">
      <c r="B17" s="289">
        <v>5</v>
      </c>
      <c r="C17" s="523" t="s">
        <v>54</v>
      </c>
      <c r="D17" s="3" t="s">
        <v>18</v>
      </c>
      <c r="E17" s="2">
        <v>10</v>
      </c>
      <c r="F17" s="5"/>
      <c r="G17" s="6"/>
    </row>
    <row r="18" spans="2:7" s="290" customFormat="1" ht="27.95" customHeight="1">
      <c r="B18" s="289">
        <v>6</v>
      </c>
      <c r="C18" s="523" t="s">
        <v>59</v>
      </c>
      <c r="D18" s="3" t="s">
        <v>24</v>
      </c>
      <c r="E18" s="2">
        <v>10</v>
      </c>
      <c r="F18" s="5"/>
      <c r="G18" s="6"/>
    </row>
    <row r="19" spans="2:7" ht="28.5">
      <c r="B19" s="289">
        <v>7</v>
      </c>
      <c r="C19" s="26" t="s">
        <v>214</v>
      </c>
      <c r="D19" s="3" t="s">
        <v>26</v>
      </c>
      <c r="E19" s="2">
        <v>5</v>
      </c>
      <c r="F19" s="5"/>
      <c r="G19" s="6"/>
    </row>
    <row r="20" spans="2:7" ht="28.5">
      <c r="B20" s="289">
        <v>8</v>
      </c>
      <c r="C20" s="26" t="s">
        <v>95</v>
      </c>
      <c r="D20" s="3" t="s">
        <v>206</v>
      </c>
      <c r="E20" s="2">
        <v>1</v>
      </c>
      <c r="F20" s="5"/>
      <c r="G20" s="6"/>
    </row>
    <row r="21" spans="2:7" ht="27" customHeight="1">
      <c r="B21" s="289">
        <v>9</v>
      </c>
      <c r="C21" s="26" t="s">
        <v>227</v>
      </c>
      <c r="D21" s="3" t="s">
        <v>26</v>
      </c>
      <c r="E21" s="2">
        <v>4</v>
      </c>
      <c r="F21" s="5"/>
      <c r="G21" s="6"/>
    </row>
    <row r="22" spans="2:7" ht="28.5">
      <c r="B22" s="289">
        <v>10</v>
      </c>
      <c r="C22" s="26" t="s">
        <v>186</v>
      </c>
      <c r="D22" s="3" t="s">
        <v>26</v>
      </c>
      <c r="E22" s="2">
        <v>1</v>
      </c>
      <c r="F22" s="5"/>
      <c r="G22" s="6"/>
    </row>
    <row r="23" spans="2:7" ht="26.45" customHeight="1">
      <c r="B23" s="289">
        <v>11</v>
      </c>
      <c r="C23" s="26" t="s">
        <v>233</v>
      </c>
      <c r="D23" s="3" t="s">
        <v>26</v>
      </c>
      <c r="E23" s="2">
        <v>1</v>
      </c>
      <c r="F23" s="5"/>
      <c r="G23" s="6"/>
    </row>
    <row r="24" spans="2:7" ht="26.45" customHeight="1">
      <c r="B24" s="289">
        <v>12</v>
      </c>
      <c r="C24" s="26" t="s">
        <v>232</v>
      </c>
      <c r="D24" s="3" t="s">
        <v>26</v>
      </c>
      <c r="E24" s="2">
        <v>2</v>
      </c>
      <c r="F24" s="5"/>
      <c r="G24" s="6"/>
    </row>
    <row r="25" spans="2:7" ht="26.25" customHeight="1">
      <c r="B25" s="289">
        <v>13</v>
      </c>
      <c r="C25" s="26" t="s">
        <v>250</v>
      </c>
      <c r="D25" s="3" t="s">
        <v>26</v>
      </c>
      <c r="E25" s="2">
        <v>25</v>
      </c>
      <c r="F25" s="5"/>
      <c r="G25" s="6"/>
    </row>
    <row r="26" spans="2:7" ht="27" customHeight="1">
      <c r="B26" s="289">
        <v>14</v>
      </c>
      <c r="C26" s="26" t="s">
        <v>262</v>
      </c>
      <c r="D26" s="3" t="s">
        <v>26</v>
      </c>
      <c r="E26" s="2">
        <f>2+3+2</f>
        <v>7</v>
      </c>
      <c r="F26" s="5"/>
      <c r="G26" s="6"/>
    </row>
    <row r="27" spans="2:7" ht="18.600000000000001" customHeight="1">
      <c r="B27" s="289">
        <v>15</v>
      </c>
      <c r="C27" s="26" t="s">
        <v>259</v>
      </c>
      <c r="D27" s="3" t="s">
        <v>26</v>
      </c>
      <c r="E27" s="2">
        <f>11</f>
        <v>11</v>
      </c>
      <c r="F27" s="5"/>
      <c r="G27" s="6"/>
    </row>
    <row r="28" spans="2:7" ht="27.95" customHeight="1">
      <c r="B28" s="289">
        <v>16</v>
      </c>
      <c r="C28" s="26" t="s">
        <v>251</v>
      </c>
      <c r="D28" s="3" t="s">
        <v>26</v>
      </c>
      <c r="E28" s="2">
        <f>5+3+2</f>
        <v>10</v>
      </c>
      <c r="F28" s="5"/>
      <c r="G28" s="6"/>
    </row>
    <row r="29" spans="2:7" ht="27.95" customHeight="1">
      <c r="B29" s="289">
        <v>17</v>
      </c>
      <c r="C29" s="26" t="s">
        <v>257</v>
      </c>
      <c r="D29" s="3" t="s">
        <v>26</v>
      </c>
      <c r="E29" s="2">
        <f>9+2+1</f>
        <v>12</v>
      </c>
      <c r="F29" s="5"/>
      <c r="G29" s="6"/>
    </row>
    <row r="30" spans="2:7" ht="27.95" customHeight="1">
      <c r="B30" s="289">
        <v>18</v>
      </c>
      <c r="C30" s="26" t="s">
        <v>264</v>
      </c>
      <c r="D30" s="3" t="s">
        <v>26</v>
      </c>
      <c r="E30" s="2">
        <v>2</v>
      </c>
      <c r="F30" s="5"/>
      <c r="G30" s="6"/>
    </row>
    <row r="31" spans="2:7" ht="27.95" customHeight="1">
      <c r="B31" s="289">
        <v>19</v>
      </c>
      <c r="C31" s="26" t="s">
        <v>260</v>
      </c>
      <c r="D31" s="3" t="s">
        <v>26</v>
      </c>
      <c r="E31" s="2">
        <v>1</v>
      </c>
      <c r="F31" s="5"/>
      <c r="G31" s="6"/>
    </row>
    <row r="32" spans="2:7" ht="29.1" customHeight="1">
      <c r="B32" s="289">
        <v>20</v>
      </c>
      <c r="C32" s="26" t="s">
        <v>265</v>
      </c>
      <c r="D32" s="3" t="s">
        <v>26</v>
      </c>
      <c r="E32" s="2">
        <v>2</v>
      </c>
      <c r="F32" s="5"/>
      <c r="G32" s="6"/>
    </row>
    <row r="33" spans="2:7" ht="24.75" customHeight="1">
      <c r="B33" s="289">
        <v>21</v>
      </c>
      <c r="C33" s="26" t="s">
        <v>205</v>
      </c>
      <c r="D33" s="3" t="s">
        <v>23</v>
      </c>
      <c r="E33" s="2">
        <v>8</v>
      </c>
      <c r="F33" s="5"/>
      <c r="G33" s="6"/>
    </row>
    <row r="34" spans="2:7" ht="26.45" customHeight="1">
      <c r="B34" s="289">
        <v>22</v>
      </c>
      <c r="C34" s="26" t="s">
        <v>228</v>
      </c>
      <c r="D34" s="3" t="s">
        <v>23</v>
      </c>
      <c r="E34" s="2">
        <f>24+10</f>
        <v>34</v>
      </c>
      <c r="F34" s="5"/>
      <c r="G34" s="6"/>
    </row>
    <row r="35" spans="2:7" ht="26.45" customHeight="1">
      <c r="B35" s="289">
        <v>23</v>
      </c>
      <c r="C35" s="26" t="s">
        <v>272</v>
      </c>
      <c r="D35" s="3" t="s">
        <v>23</v>
      </c>
      <c r="E35" s="2">
        <v>14</v>
      </c>
      <c r="F35" s="5"/>
      <c r="G35" s="6"/>
    </row>
    <row r="36" spans="2:7" ht="17.45" customHeight="1">
      <c r="B36" s="289">
        <v>24</v>
      </c>
      <c r="C36" s="26" t="s">
        <v>277</v>
      </c>
      <c r="D36" s="3" t="s">
        <v>207</v>
      </c>
      <c r="E36" s="2">
        <v>2</v>
      </c>
      <c r="F36" s="5"/>
      <c r="G36" s="6"/>
    </row>
    <row r="37" spans="2:7" ht="18.600000000000001" customHeight="1">
      <c r="B37" s="289">
        <v>25</v>
      </c>
      <c r="C37" s="26" t="s">
        <v>187</v>
      </c>
      <c r="D37" s="3" t="s">
        <v>207</v>
      </c>
      <c r="E37" s="2">
        <v>2</v>
      </c>
      <c r="F37" s="5"/>
      <c r="G37" s="6"/>
    </row>
    <row r="38" spans="2:7" ht="28.5">
      <c r="B38" s="289">
        <v>26</v>
      </c>
      <c r="C38" s="177" t="s">
        <v>189</v>
      </c>
      <c r="D38" s="160" t="s">
        <v>207</v>
      </c>
      <c r="E38" s="2">
        <v>0.2</v>
      </c>
      <c r="F38" s="161"/>
      <c r="G38" s="162"/>
    </row>
    <row r="39" spans="2:7" ht="15.75" customHeight="1" thickBot="1">
      <c r="B39" s="289">
        <v>27</v>
      </c>
      <c r="C39" s="178" t="s">
        <v>188</v>
      </c>
      <c r="D39" s="163" t="s">
        <v>207</v>
      </c>
      <c r="E39" s="31">
        <v>2</v>
      </c>
      <c r="F39" s="164"/>
      <c r="G39" s="165"/>
    </row>
    <row r="40" spans="2:7" hidden="1">
      <c r="B40" s="142">
        <v>16</v>
      </c>
      <c r="C40" s="148"/>
      <c r="D40" s="149"/>
      <c r="E40" s="150"/>
      <c r="F40" s="151"/>
      <c r="G40" s="152"/>
    </row>
    <row r="41" spans="2:7" hidden="1">
      <c r="B41" s="13">
        <v>17</v>
      </c>
      <c r="C41" s="148"/>
      <c r="D41" s="149"/>
      <c r="E41" s="150"/>
      <c r="F41" s="151"/>
      <c r="G41" s="152"/>
    </row>
    <row r="42" spans="2:7" hidden="1">
      <c r="B42" s="13">
        <v>18</v>
      </c>
      <c r="C42" s="148"/>
      <c r="D42" s="149"/>
      <c r="E42" s="150"/>
      <c r="F42" s="151"/>
      <c r="G42" s="152"/>
    </row>
    <row r="43" spans="2:7" ht="34.5" hidden="1" customHeight="1">
      <c r="B43" s="13">
        <v>19</v>
      </c>
      <c r="C43" s="143" t="s">
        <v>91</v>
      </c>
      <c r="D43" s="144" t="s">
        <v>37</v>
      </c>
      <c r="E43" s="145"/>
      <c r="F43" s="146" t="e">
        <f>+APU´S!#REF!</f>
        <v>#REF!</v>
      </c>
      <c r="G43" s="147" t="e">
        <f t="shared" ref="G43:G58" si="0">ROUND((E43*F43),2)</f>
        <v>#REF!</v>
      </c>
    </row>
    <row r="44" spans="2:7" ht="37.5" hidden="1" customHeight="1">
      <c r="B44" s="13">
        <v>20</v>
      </c>
      <c r="C44" s="26" t="s">
        <v>92</v>
      </c>
      <c r="D44" s="3" t="s">
        <v>37</v>
      </c>
      <c r="E44" s="2"/>
      <c r="F44" s="5" t="e">
        <f>+APU´S!#REF!</f>
        <v>#REF!</v>
      </c>
      <c r="G44" s="6" t="e">
        <f t="shared" si="0"/>
        <v>#REF!</v>
      </c>
    </row>
    <row r="45" spans="2:7" ht="35.25" hidden="1" customHeight="1">
      <c r="B45" s="13">
        <v>21</v>
      </c>
      <c r="C45" s="26" t="s">
        <v>93</v>
      </c>
      <c r="D45" s="3" t="s">
        <v>37</v>
      </c>
      <c r="E45" s="2"/>
      <c r="F45" s="5" t="e">
        <f>+APU´S!#REF!</f>
        <v>#REF!</v>
      </c>
      <c r="G45" s="6" t="e">
        <f t="shared" si="0"/>
        <v>#REF!</v>
      </c>
    </row>
    <row r="46" spans="2:7" ht="28.5" hidden="1">
      <c r="B46" s="13">
        <v>22</v>
      </c>
      <c r="C46" s="26" t="s">
        <v>94</v>
      </c>
      <c r="D46" s="3" t="s">
        <v>37</v>
      </c>
      <c r="E46" s="2"/>
      <c r="F46" s="5">
        <f>+APU´S!F187</f>
        <v>0</v>
      </c>
      <c r="G46" s="6">
        <f t="shared" si="0"/>
        <v>0</v>
      </c>
    </row>
    <row r="47" spans="2:7" ht="28.5" hidden="1">
      <c r="B47" s="13">
        <v>23</v>
      </c>
      <c r="C47" s="26" t="s">
        <v>95</v>
      </c>
      <c r="D47" s="3" t="s">
        <v>55</v>
      </c>
      <c r="E47" s="2"/>
      <c r="F47" s="5" t="e">
        <f>+APU´S!#REF!</f>
        <v>#REF!</v>
      </c>
      <c r="G47" s="6" t="e">
        <f t="shared" si="0"/>
        <v>#REF!</v>
      </c>
    </row>
    <row r="48" spans="2:7" ht="28.5" hidden="1">
      <c r="B48" s="13">
        <v>24</v>
      </c>
      <c r="C48" s="26" t="s">
        <v>96</v>
      </c>
      <c r="D48" s="3" t="s">
        <v>37</v>
      </c>
      <c r="E48" s="2"/>
      <c r="F48" s="5" t="e">
        <f>+APU´S!#REF!</f>
        <v>#REF!</v>
      </c>
      <c r="G48" s="6" t="e">
        <f t="shared" si="0"/>
        <v>#REF!</v>
      </c>
    </row>
    <row r="49" spans="2:7" hidden="1">
      <c r="B49" s="13">
        <v>25</v>
      </c>
      <c r="C49" s="26" t="s">
        <v>97</v>
      </c>
      <c r="D49" s="3" t="s">
        <v>3</v>
      </c>
      <c r="E49" s="2"/>
      <c r="F49" s="5" t="e">
        <f>+APU´S!#REF!</f>
        <v>#REF!</v>
      </c>
      <c r="G49" s="6" t="e">
        <f t="shared" si="0"/>
        <v>#REF!</v>
      </c>
    </row>
    <row r="50" spans="2:7" hidden="1">
      <c r="B50" s="13">
        <v>26</v>
      </c>
      <c r="C50" s="26" t="s">
        <v>98</v>
      </c>
      <c r="D50" s="3" t="s">
        <v>3</v>
      </c>
      <c r="E50" s="2"/>
      <c r="F50" s="5" t="e">
        <f>+APU´S!#REF!</f>
        <v>#REF!</v>
      </c>
      <c r="G50" s="6" t="e">
        <f t="shared" si="0"/>
        <v>#REF!</v>
      </c>
    </row>
    <row r="51" spans="2:7" ht="28.5" hidden="1">
      <c r="B51" s="13">
        <v>27</v>
      </c>
      <c r="C51" s="26" t="s">
        <v>101</v>
      </c>
      <c r="D51" s="3" t="s">
        <v>32</v>
      </c>
      <c r="E51" s="2"/>
      <c r="F51" s="5" t="e">
        <f>+APU´S!#REF!</f>
        <v>#REF!</v>
      </c>
      <c r="G51" s="6" t="e">
        <f t="shared" si="0"/>
        <v>#REF!</v>
      </c>
    </row>
    <row r="52" spans="2:7" ht="28.5" hidden="1">
      <c r="B52" s="13">
        <v>28</v>
      </c>
      <c r="C52" s="26" t="s">
        <v>102</v>
      </c>
      <c r="D52" s="3" t="s">
        <v>37</v>
      </c>
      <c r="E52" s="2"/>
      <c r="F52" s="5" t="e">
        <f>+APU´S!#REF!</f>
        <v>#REF!</v>
      </c>
      <c r="G52" s="6"/>
    </row>
    <row r="53" spans="2:7" ht="28.5" hidden="1">
      <c r="B53" s="13">
        <v>29</v>
      </c>
      <c r="C53" s="26" t="s">
        <v>103</v>
      </c>
      <c r="D53" s="3" t="s">
        <v>37</v>
      </c>
      <c r="E53" s="2"/>
      <c r="F53" s="5" t="e">
        <f>+APU´S!#REF!</f>
        <v>#REF!</v>
      </c>
      <c r="G53" s="6" t="e">
        <f t="shared" si="0"/>
        <v>#REF!</v>
      </c>
    </row>
    <row r="54" spans="2:7" ht="28.5" hidden="1">
      <c r="B54" s="13">
        <v>30</v>
      </c>
      <c r="C54" s="26" t="s">
        <v>107</v>
      </c>
      <c r="D54" s="3" t="s">
        <v>37</v>
      </c>
      <c r="E54" s="2"/>
      <c r="F54" s="5" t="e">
        <f>+APU´S!#REF!</f>
        <v>#REF!</v>
      </c>
      <c r="G54" s="6" t="e">
        <f t="shared" si="0"/>
        <v>#REF!</v>
      </c>
    </row>
    <row r="55" spans="2:7" hidden="1">
      <c r="B55" s="13">
        <v>31</v>
      </c>
      <c r="C55" s="26" t="s">
        <v>99</v>
      </c>
      <c r="D55" s="3" t="s">
        <v>37</v>
      </c>
      <c r="E55" s="2"/>
      <c r="F55" s="5" t="e">
        <f>+APU´S!#REF!</f>
        <v>#REF!</v>
      </c>
      <c r="G55" s="6" t="e">
        <f t="shared" si="0"/>
        <v>#REF!</v>
      </c>
    </row>
    <row r="56" spans="2:7" hidden="1">
      <c r="B56" s="13">
        <v>32</v>
      </c>
      <c r="C56" s="26" t="s">
        <v>100</v>
      </c>
      <c r="D56" s="3" t="s">
        <v>37</v>
      </c>
      <c r="E56" s="2"/>
      <c r="F56" s="5" t="e">
        <f>+APU´S!#REF!</f>
        <v>#REF!</v>
      </c>
      <c r="G56" s="6" t="e">
        <f t="shared" si="0"/>
        <v>#REF!</v>
      </c>
    </row>
    <row r="57" spans="2:7" ht="12" hidden="1" customHeight="1">
      <c r="B57" s="13">
        <v>33</v>
      </c>
      <c r="C57" s="26" t="s">
        <v>134</v>
      </c>
      <c r="D57" s="3" t="s">
        <v>37</v>
      </c>
      <c r="E57" s="2"/>
      <c r="F57" s="5">
        <f>+APU´S!F400</f>
        <v>0</v>
      </c>
      <c r="G57" s="6">
        <f t="shared" si="0"/>
        <v>0</v>
      </c>
    </row>
    <row r="58" spans="2:7" ht="17.100000000000001" hidden="1" customHeight="1" thickBot="1">
      <c r="B58" s="13">
        <v>34</v>
      </c>
      <c r="C58" s="27" t="s">
        <v>135</v>
      </c>
      <c r="D58" s="28" t="s">
        <v>37</v>
      </c>
      <c r="E58" s="31"/>
      <c r="F58" s="29" t="e">
        <f>+APU´S!#REF!</f>
        <v>#REF!</v>
      </c>
      <c r="G58" s="30" t="e">
        <f t="shared" si="0"/>
        <v>#REF!</v>
      </c>
    </row>
    <row r="59" spans="2:7" ht="16.5" thickBot="1">
      <c r="B59" s="11"/>
      <c r="C59" s="12"/>
      <c r="D59" s="12"/>
      <c r="E59" s="12"/>
      <c r="F59" s="12"/>
      <c r="G59" s="12"/>
    </row>
    <row r="60" spans="2:7" ht="15.75">
      <c r="B60" s="115"/>
      <c r="C60" s="116" t="s">
        <v>48</v>
      </c>
      <c r="D60" s="117"/>
      <c r="E60" s="118"/>
      <c r="F60" s="118"/>
      <c r="G60" s="119">
        <f>+ROUND(SUM(G13:G39),0)</f>
        <v>0</v>
      </c>
    </row>
    <row r="61" spans="2:7" ht="31.5">
      <c r="B61" s="14"/>
      <c r="C61" s="15" t="s">
        <v>49</v>
      </c>
      <c r="D61" s="16" t="s">
        <v>279</v>
      </c>
      <c r="E61" s="307"/>
      <c r="F61" s="17"/>
      <c r="G61" s="18">
        <f>+ROUND(G60*E61,0)</f>
        <v>0</v>
      </c>
    </row>
    <row r="62" spans="2:7" ht="31.5">
      <c r="B62" s="14"/>
      <c r="C62" s="15" t="s">
        <v>50</v>
      </c>
      <c r="D62" s="16" t="s">
        <v>279</v>
      </c>
      <c r="E62" s="308"/>
      <c r="F62" s="17"/>
      <c r="G62" s="18">
        <f>+ROUND(G60*E62,0)</f>
        <v>0</v>
      </c>
    </row>
    <row r="63" spans="2:7" ht="16.5" thickBot="1">
      <c r="B63" s="19"/>
      <c r="C63" s="20" t="s">
        <v>51</v>
      </c>
      <c r="D63" s="21"/>
      <c r="E63" s="21"/>
      <c r="F63" s="21"/>
      <c r="G63" s="22">
        <f>+ROUND(G60+G61+G62,)</f>
        <v>0</v>
      </c>
    </row>
  </sheetData>
  <mergeCells count="11">
    <mergeCell ref="F10:G10"/>
    <mergeCell ref="B2:C10"/>
    <mergeCell ref="D2:E2"/>
    <mergeCell ref="D3:D5"/>
    <mergeCell ref="E3:G5"/>
    <mergeCell ref="D6:F6"/>
    <mergeCell ref="D7:F7"/>
    <mergeCell ref="D8:F8"/>
    <mergeCell ref="D9:E9"/>
    <mergeCell ref="F9:G9"/>
    <mergeCell ref="D10:E10"/>
  </mergeCells>
  <phoneticPr fontId="1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>
    <tabColor rgb="FF00B0F0"/>
  </sheetPr>
  <dimension ref="A2:AN614"/>
  <sheetViews>
    <sheetView showGridLines="0" zoomScale="70" zoomScaleNormal="70" workbookViewId="0">
      <selection activeCell="F349" sqref="F349"/>
    </sheetView>
  </sheetViews>
  <sheetFormatPr baseColWidth="10" defaultColWidth="11.42578125" defaultRowHeight="15"/>
  <cols>
    <col min="1" max="1" width="11.5703125" style="55" bestFit="1" customWidth="1"/>
    <col min="2" max="2" width="70" style="57" customWidth="1"/>
    <col min="3" max="3" width="11.140625" style="55" customWidth="1"/>
    <col min="4" max="4" width="11.85546875" style="55" customWidth="1"/>
    <col min="5" max="5" width="19.28515625" style="55" customWidth="1"/>
    <col min="6" max="6" width="24" style="55" customWidth="1"/>
    <col min="7" max="7" width="19.85546875" style="48" customWidth="1"/>
    <col min="8" max="8" width="30.28515625" style="48" customWidth="1"/>
    <col min="9" max="9" width="18.5703125" style="48" customWidth="1"/>
    <col min="10" max="10" width="63.7109375" style="48" customWidth="1"/>
    <col min="11" max="11" width="23.7109375" style="56" customWidth="1"/>
    <col min="12" max="12" width="17.140625" style="56" customWidth="1"/>
    <col min="13" max="13" width="22.28515625" style="55" customWidth="1"/>
    <col min="14" max="14" width="24.140625" style="56" customWidth="1"/>
    <col min="15" max="15" width="39" style="55" customWidth="1"/>
    <col min="16" max="16" width="14.42578125" style="55" customWidth="1"/>
    <col min="17" max="17" width="11.42578125" style="55"/>
    <col min="18" max="18" width="69.140625" style="55" customWidth="1"/>
    <col min="19" max="19" width="21.5703125" style="55" hidden="1" customWidth="1"/>
    <col min="20" max="20" width="14.5703125" style="55" hidden="1" customWidth="1"/>
    <col min="21" max="21" width="43.7109375" style="55" hidden="1" customWidth="1"/>
    <col min="22" max="22" width="31.28515625" style="55" hidden="1" customWidth="1"/>
    <col min="23" max="23" width="22.5703125" style="55" hidden="1" customWidth="1"/>
    <col min="24" max="24" width="30.7109375" style="55" hidden="1" customWidth="1"/>
    <col min="25" max="25" width="21.42578125" style="55" hidden="1" customWidth="1"/>
    <col min="26" max="26" width="20" style="55" hidden="1" customWidth="1"/>
    <col min="27" max="27" width="20.140625" style="55" hidden="1" customWidth="1"/>
    <col min="28" max="29" width="0" style="55" hidden="1" customWidth="1"/>
    <col min="30" max="30" width="13.28515625" style="55" hidden="1" customWidth="1"/>
    <col min="31" max="31" width="21.140625" style="55" hidden="1" customWidth="1"/>
    <col min="32" max="32" width="23.28515625" style="55" hidden="1" customWidth="1"/>
    <col min="33" max="33" width="24" style="55" hidden="1" customWidth="1"/>
    <col min="34" max="34" width="24.28515625" style="55" hidden="1" customWidth="1"/>
    <col min="35" max="35" width="15" style="55" hidden="1" customWidth="1"/>
    <col min="36" max="40" width="0" style="55" hidden="1" customWidth="1"/>
    <col min="41" max="16384" width="11.42578125" style="55"/>
  </cols>
  <sheetData>
    <row r="2" spans="1:7" ht="16.5" hidden="1" thickBot="1">
      <c r="A2" s="682" t="s">
        <v>52</v>
      </c>
      <c r="B2" s="683"/>
      <c r="C2" s="683"/>
      <c r="D2" s="683"/>
      <c r="E2" s="683"/>
      <c r="F2" s="684"/>
    </row>
    <row r="3" spans="1:7" hidden="1"/>
    <row r="4" spans="1:7" ht="16.5" hidden="1" thickBot="1">
      <c r="A4" s="685" t="s">
        <v>190</v>
      </c>
      <c r="B4" s="686"/>
      <c r="C4" s="686"/>
      <c r="D4" s="686"/>
      <c r="E4" s="686"/>
      <c r="F4" s="687"/>
      <c r="G4" s="32"/>
    </row>
    <row r="5" spans="1:7" hidden="1">
      <c r="A5" s="32"/>
      <c r="B5" s="24"/>
      <c r="C5" s="32"/>
      <c r="D5" s="32"/>
      <c r="E5" s="32"/>
      <c r="F5" s="33"/>
      <c r="G5" s="32"/>
    </row>
    <row r="6" spans="1:7" ht="15.75" hidden="1">
      <c r="A6" s="50" t="s">
        <v>6</v>
      </c>
      <c r="B6" s="51" t="s">
        <v>7</v>
      </c>
      <c r="C6" s="52" t="s">
        <v>0</v>
      </c>
      <c r="D6" s="52" t="s">
        <v>8</v>
      </c>
      <c r="E6" s="52" t="s">
        <v>2</v>
      </c>
      <c r="F6" s="53" t="s">
        <v>9</v>
      </c>
      <c r="G6" s="32"/>
    </row>
    <row r="7" spans="1:7" hidden="1">
      <c r="A7" s="34">
        <v>1</v>
      </c>
      <c r="B7" s="41" t="s">
        <v>31</v>
      </c>
      <c r="C7" s="59" t="s">
        <v>32</v>
      </c>
      <c r="D7" s="68">
        <v>1.5</v>
      </c>
      <c r="E7" s="64" t="e">
        <f>+VLOOKUP(B7,#REF!,6,)</f>
        <v>#REF!</v>
      </c>
      <c r="F7" s="39" t="e">
        <f t="shared" ref="F7:F23" si="0">+D7*E7</f>
        <v>#REF!</v>
      </c>
      <c r="G7" s="166"/>
    </row>
    <row r="8" spans="1:7" ht="30" hidden="1">
      <c r="A8" s="34">
        <v>2</v>
      </c>
      <c r="B8" s="35" t="s">
        <v>53</v>
      </c>
      <c r="C8" s="59" t="s">
        <v>32</v>
      </c>
      <c r="D8" s="68">
        <v>1</v>
      </c>
      <c r="E8" s="64" t="e">
        <f>+VLOOKUP(B8,#REF!,6,)</f>
        <v>#REF!</v>
      </c>
      <c r="F8" s="40" t="e">
        <f t="shared" si="0"/>
        <v>#REF!</v>
      </c>
      <c r="G8" s="166"/>
    </row>
    <row r="9" spans="1:7" hidden="1">
      <c r="A9" s="34">
        <v>3</v>
      </c>
      <c r="B9" s="41" t="s">
        <v>33</v>
      </c>
      <c r="C9" s="59" t="s">
        <v>37</v>
      </c>
      <c r="D9" s="42">
        <f>2/20</f>
        <v>0.1</v>
      </c>
      <c r="E9" s="64" t="e">
        <f>+VLOOKUP(B9,#REF!,6,)</f>
        <v>#REF!</v>
      </c>
      <c r="F9" s="39" t="e">
        <f t="shared" si="0"/>
        <v>#REF!</v>
      </c>
      <c r="G9" s="166" t="s">
        <v>191</v>
      </c>
    </row>
    <row r="10" spans="1:7" hidden="1">
      <c r="A10" s="34">
        <v>4</v>
      </c>
      <c r="B10" s="41" t="s">
        <v>73</v>
      </c>
      <c r="C10" s="59" t="s">
        <v>32</v>
      </c>
      <c r="D10" s="42">
        <v>2</v>
      </c>
      <c r="E10" s="64" t="e">
        <f>+VLOOKUP(B10,#REF!,6,)</f>
        <v>#REF!</v>
      </c>
      <c r="F10" s="39" t="e">
        <f t="shared" si="0"/>
        <v>#REF!</v>
      </c>
      <c r="G10" s="166"/>
    </row>
    <row r="11" spans="1:7" hidden="1">
      <c r="A11" s="34">
        <v>5</v>
      </c>
      <c r="B11" s="41" t="s">
        <v>192</v>
      </c>
      <c r="C11" s="120" t="s">
        <v>3</v>
      </c>
      <c r="D11" s="42">
        <f>1*0.65</f>
        <v>0.65</v>
      </c>
      <c r="E11" s="64" t="e">
        <f>+VLOOKUP(B11,#REF!,6,)</f>
        <v>#REF!</v>
      </c>
      <c r="F11" s="39" t="e">
        <f t="shared" si="0"/>
        <v>#REF!</v>
      </c>
      <c r="G11" s="212"/>
    </row>
    <row r="12" spans="1:7" hidden="1">
      <c r="A12" s="34">
        <v>6</v>
      </c>
      <c r="B12" s="41" t="s">
        <v>78</v>
      </c>
      <c r="C12" s="59" t="s">
        <v>4</v>
      </c>
      <c r="D12" s="167">
        <f>1*0.65*0.45</f>
        <v>0.29250000000000004</v>
      </c>
      <c r="E12" s="64" t="e">
        <f>+VLOOKUP(B12,#REF!,6,)</f>
        <v>#REF!</v>
      </c>
      <c r="F12" s="39" t="e">
        <f t="shared" si="0"/>
        <v>#REF!</v>
      </c>
      <c r="G12" s="168" t="s">
        <v>193</v>
      </c>
    </row>
    <row r="13" spans="1:7" hidden="1">
      <c r="A13" s="34">
        <v>7</v>
      </c>
      <c r="B13" s="41" t="s">
        <v>62</v>
      </c>
      <c r="C13" s="59" t="s">
        <v>4</v>
      </c>
      <c r="D13" s="167">
        <f>1*0.65*0.35</f>
        <v>0.22749999999999998</v>
      </c>
      <c r="E13" s="64" t="e">
        <f>+VLOOKUP(B13,#REF!,6,)</f>
        <v>#REF!</v>
      </c>
      <c r="F13" s="39" t="e">
        <f t="shared" si="0"/>
        <v>#REF!</v>
      </c>
      <c r="G13" s="168"/>
    </row>
    <row r="14" spans="1:7" hidden="1">
      <c r="A14" s="34">
        <v>8</v>
      </c>
      <c r="B14" s="41" t="s">
        <v>56</v>
      </c>
      <c r="C14" s="59" t="s">
        <v>4</v>
      </c>
      <c r="D14" s="167">
        <f>((D11*0.07)+(D12+D13))*1.3</f>
        <v>0.73515000000000008</v>
      </c>
      <c r="E14" s="64" t="e">
        <f>+VLOOKUP(B14,#REF!,6,)</f>
        <v>#REF!</v>
      </c>
      <c r="F14" s="39" t="e">
        <f t="shared" si="0"/>
        <v>#REF!</v>
      </c>
      <c r="G14" s="168"/>
    </row>
    <row r="15" spans="1:7" hidden="1">
      <c r="A15" s="34">
        <v>9</v>
      </c>
      <c r="B15" s="41" t="s">
        <v>35</v>
      </c>
      <c r="C15" s="59" t="s">
        <v>4</v>
      </c>
      <c r="D15" s="167">
        <f>+D14</f>
        <v>0.73515000000000008</v>
      </c>
      <c r="E15" s="64" t="e">
        <f>+VLOOKUP(B15,#REF!,6,)</f>
        <v>#REF!</v>
      </c>
      <c r="F15" s="39" t="e">
        <f t="shared" si="0"/>
        <v>#REF!</v>
      </c>
      <c r="G15" s="168"/>
    </row>
    <row r="16" spans="1:7" hidden="1">
      <c r="A16" s="34">
        <v>10</v>
      </c>
      <c r="B16" s="41" t="s">
        <v>79</v>
      </c>
      <c r="C16" s="120" t="s">
        <v>3</v>
      </c>
      <c r="D16" s="167">
        <f>1*0.65</f>
        <v>0.65</v>
      </c>
      <c r="E16" s="64" t="e">
        <f>+VLOOKUP(B16,#REF!,6,)</f>
        <v>#REF!</v>
      </c>
      <c r="F16" s="39" t="e">
        <f t="shared" si="0"/>
        <v>#REF!</v>
      </c>
      <c r="G16" s="168" t="s">
        <v>193</v>
      </c>
    </row>
    <row r="17" spans="1:7" hidden="1">
      <c r="A17" s="34">
        <v>11</v>
      </c>
      <c r="B17" s="41" t="s">
        <v>34</v>
      </c>
      <c r="C17" s="59" t="s">
        <v>32</v>
      </c>
      <c r="D17" s="42">
        <v>4</v>
      </c>
      <c r="E17" s="64" t="e">
        <f>+VLOOKUP(B17,#REF!,6,)</f>
        <v>#REF!</v>
      </c>
      <c r="F17" s="39" t="e">
        <f t="shared" si="0"/>
        <v>#REF!</v>
      </c>
      <c r="G17" s="168"/>
    </row>
    <row r="18" spans="1:7" hidden="1">
      <c r="A18" s="34">
        <v>12</v>
      </c>
      <c r="B18" s="41" t="s">
        <v>194</v>
      </c>
      <c r="C18" s="59" t="s">
        <v>32</v>
      </c>
      <c r="D18" s="42">
        <v>1</v>
      </c>
      <c r="E18" s="38">
        <v>150</v>
      </c>
      <c r="F18" s="39">
        <f t="shared" si="0"/>
        <v>150</v>
      </c>
      <c r="G18" s="168"/>
    </row>
    <row r="19" spans="1:7" hidden="1">
      <c r="A19" s="34">
        <v>13</v>
      </c>
      <c r="B19" s="41" t="s">
        <v>80</v>
      </c>
      <c r="C19" s="59" t="s">
        <v>4</v>
      </c>
      <c r="D19" s="167">
        <f>(1*0.65*0.3)-(4*PI()*0.05^2)</f>
        <v>0.16358407346410209</v>
      </c>
      <c r="E19" s="64" t="e">
        <f>+VLOOKUP(B19,#REF!,6,)</f>
        <v>#REF!</v>
      </c>
      <c r="F19" s="39" t="e">
        <f t="shared" si="0"/>
        <v>#REF!</v>
      </c>
      <c r="G19" s="168" t="s">
        <v>195</v>
      </c>
    </row>
    <row r="20" spans="1:7" hidden="1">
      <c r="A20" s="34">
        <v>14</v>
      </c>
      <c r="B20" s="41" t="s">
        <v>81</v>
      </c>
      <c r="C20" s="59" t="s">
        <v>4</v>
      </c>
      <c r="D20" s="42">
        <f>1*0.65*0.25</f>
        <v>0.16250000000000001</v>
      </c>
      <c r="E20" s="64" t="e">
        <f>+VLOOKUP(B20,#REF!,6,)</f>
        <v>#REF!</v>
      </c>
      <c r="F20" s="39" t="e">
        <f t="shared" si="0"/>
        <v>#REF!</v>
      </c>
      <c r="G20" s="168"/>
    </row>
    <row r="21" spans="1:7" hidden="1">
      <c r="A21" s="34">
        <v>15</v>
      </c>
      <c r="B21" s="41" t="s">
        <v>82</v>
      </c>
      <c r="C21" s="59" t="s">
        <v>4</v>
      </c>
      <c r="D21" s="42">
        <f>1*0.65*0.2</f>
        <v>0.13</v>
      </c>
      <c r="E21" s="64" t="e">
        <f>+VLOOKUP(B21,#REF!,6,)</f>
        <v>#REF!</v>
      </c>
      <c r="F21" s="39" t="e">
        <f t="shared" si="0"/>
        <v>#REF!</v>
      </c>
      <c r="G21" s="168"/>
    </row>
    <row r="22" spans="1:7" ht="30" hidden="1">
      <c r="A22" s="34">
        <v>16</v>
      </c>
      <c r="B22" s="41" t="s">
        <v>83</v>
      </c>
      <c r="C22" s="59" t="s">
        <v>3</v>
      </c>
      <c r="D22" s="42">
        <v>0.9</v>
      </c>
      <c r="E22" s="64" t="e">
        <f>+VLOOKUP(B22,#REF!,6,)</f>
        <v>#REF!</v>
      </c>
      <c r="F22" s="39" t="e">
        <f t="shared" si="0"/>
        <v>#REF!</v>
      </c>
      <c r="G22" s="168" t="s">
        <v>196</v>
      </c>
    </row>
    <row r="23" spans="1:7" ht="15.75" hidden="1" thickBot="1">
      <c r="A23" s="44">
        <v>17</v>
      </c>
      <c r="B23" s="45" t="s">
        <v>197</v>
      </c>
      <c r="C23" s="46" t="s">
        <v>3</v>
      </c>
      <c r="D23" s="169">
        <v>4</v>
      </c>
      <c r="E23" s="171">
        <v>120000</v>
      </c>
      <c r="F23" s="47">
        <f t="shared" si="0"/>
        <v>480000</v>
      </c>
      <c r="G23" s="168"/>
    </row>
    <row r="24" spans="1:7" hidden="1">
      <c r="A24" s="92"/>
      <c r="B24" s="92"/>
      <c r="C24" s="92"/>
      <c r="D24" s="92"/>
      <c r="E24" s="92"/>
      <c r="F24" s="92"/>
      <c r="G24" s="138"/>
    </row>
    <row r="25" spans="1:7" ht="16.5" hidden="1" thickBot="1">
      <c r="A25" s="688" t="s">
        <v>5</v>
      </c>
      <c r="B25" s="689"/>
      <c r="C25" s="689"/>
      <c r="D25" s="689"/>
      <c r="E25" s="690"/>
      <c r="F25" s="67" t="e">
        <f>ROUND(SUM(F7:F23),0)</f>
        <v>#REF!</v>
      </c>
    </row>
    <row r="26" spans="1:7" hidden="1"/>
    <row r="27" spans="1:7" ht="16.5" hidden="1" thickBot="1">
      <c r="A27" s="685" t="s">
        <v>198</v>
      </c>
      <c r="B27" s="686"/>
      <c r="C27" s="686"/>
      <c r="D27" s="686"/>
      <c r="E27" s="686"/>
      <c r="F27" s="687"/>
    </row>
    <row r="28" spans="1:7" hidden="1">
      <c r="A28" s="32"/>
      <c r="B28" s="24"/>
      <c r="C28" s="32"/>
      <c r="D28" s="32"/>
      <c r="E28" s="32"/>
      <c r="F28" s="33"/>
    </row>
    <row r="29" spans="1:7" ht="15.75" hidden="1">
      <c r="A29" s="50" t="s">
        <v>6</v>
      </c>
      <c r="B29" s="51" t="s">
        <v>7</v>
      </c>
      <c r="C29" s="52" t="s">
        <v>0</v>
      </c>
      <c r="D29" s="52" t="s">
        <v>8</v>
      </c>
      <c r="E29" s="52" t="s">
        <v>2</v>
      </c>
      <c r="F29" s="53" t="s">
        <v>9</v>
      </c>
    </row>
    <row r="30" spans="1:7" hidden="1">
      <c r="A30" s="34">
        <v>1</v>
      </c>
      <c r="B30" s="41" t="s">
        <v>31</v>
      </c>
      <c r="C30" s="59" t="s">
        <v>32</v>
      </c>
      <c r="D30" s="68">
        <v>1.5</v>
      </c>
      <c r="E30" s="64" t="e">
        <f>+VLOOKUP(B30,#REF!,6,)</f>
        <v>#REF!</v>
      </c>
      <c r="F30" s="39" t="e">
        <f t="shared" ref="F30:F47" si="1">+D30*E30</f>
        <v>#REF!</v>
      </c>
    </row>
    <row r="31" spans="1:7" ht="30" hidden="1">
      <c r="A31" s="34">
        <v>2</v>
      </c>
      <c r="B31" s="35" t="s">
        <v>53</v>
      </c>
      <c r="C31" s="59" t="s">
        <v>32</v>
      </c>
      <c r="D31" s="68">
        <v>1</v>
      </c>
      <c r="E31" s="64" t="e">
        <f>+VLOOKUP(B31,#REF!,6,)</f>
        <v>#REF!</v>
      </c>
      <c r="F31" s="40" t="e">
        <f t="shared" si="1"/>
        <v>#REF!</v>
      </c>
    </row>
    <row r="32" spans="1:7" hidden="1">
      <c r="A32" s="34">
        <v>3</v>
      </c>
      <c r="B32" s="41" t="s">
        <v>33</v>
      </c>
      <c r="C32" s="59" t="s">
        <v>37</v>
      </c>
      <c r="D32" s="42">
        <f>2/20</f>
        <v>0.1</v>
      </c>
      <c r="E32" s="64" t="e">
        <f>+VLOOKUP(B32,#REF!,6,)</f>
        <v>#REF!</v>
      </c>
      <c r="F32" s="39" t="e">
        <f t="shared" si="1"/>
        <v>#REF!</v>
      </c>
    </row>
    <row r="33" spans="1:6" hidden="1">
      <c r="A33" s="34">
        <v>4</v>
      </c>
      <c r="B33" s="41" t="s">
        <v>73</v>
      </c>
      <c r="C33" s="59" t="s">
        <v>32</v>
      </c>
      <c r="D33" s="42">
        <v>2</v>
      </c>
      <c r="E33" s="64" t="e">
        <f>+VLOOKUP(B33,#REF!,6,)</f>
        <v>#REF!</v>
      </c>
      <c r="F33" s="39" t="e">
        <f t="shared" si="1"/>
        <v>#REF!</v>
      </c>
    </row>
    <row r="34" spans="1:6" hidden="1">
      <c r="A34" s="34">
        <v>5</v>
      </c>
      <c r="B34" s="41" t="s">
        <v>192</v>
      </c>
      <c r="C34" s="120" t="s">
        <v>3</v>
      </c>
      <c r="D34" s="42">
        <f>1*0.65</f>
        <v>0.65</v>
      </c>
      <c r="E34" s="64" t="e">
        <f>+VLOOKUP(B34,#REF!,6,)</f>
        <v>#REF!</v>
      </c>
      <c r="F34" s="39" t="e">
        <f t="shared" si="1"/>
        <v>#REF!</v>
      </c>
    </row>
    <row r="35" spans="1:6" hidden="1">
      <c r="A35" s="34">
        <v>6</v>
      </c>
      <c r="B35" s="41" t="s">
        <v>78</v>
      </c>
      <c r="C35" s="59" t="s">
        <v>4</v>
      </c>
      <c r="D35" s="167">
        <f>1*0.65*0.45</f>
        <v>0.29250000000000004</v>
      </c>
      <c r="E35" s="64" t="e">
        <f>+VLOOKUP(B35,#REF!,6,)</f>
        <v>#REF!</v>
      </c>
      <c r="F35" s="39" t="e">
        <f t="shared" si="1"/>
        <v>#REF!</v>
      </c>
    </row>
    <row r="36" spans="1:6" hidden="1">
      <c r="A36" s="34">
        <v>7</v>
      </c>
      <c r="B36" s="41" t="s">
        <v>62</v>
      </c>
      <c r="C36" s="59" t="s">
        <v>4</v>
      </c>
      <c r="D36" s="167">
        <f>1*0.65*0.5</f>
        <v>0.32500000000000001</v>
      </c>
      <c r="E36" s="64" t="e">
        <f>+VLOOKUP(B36,#REF!,6,)</f>
        <v>#REF!</v>
      </c>
      <c r="F36" s="39" t="e">
        <f t="shared" si="1"/>
        <v>#REF!</v>
      </c>
    </row>
    <row r="37" spans="1:6" hidden="1">
      <c r="A37" s="34">
        <v>8</v>
      </c>
      <c r="B37" s="41" t="s">
        <v>56</v>
      </c>
      <c r="C37" s="59" t="s">
        <v>4</v>
      </c>
      <c r="D37" s="167">
        <f>((D34*0.07)+(D35+D36))*1.3</f>
        <v>0.86190000000000011</v>
      </c>
      <c r="E37" s="64" t="e">
        <f>+VLOOKUP(B37,#REF!,6,)</f>
        <v>#REF!</v>
      </c>
      <c r="F37" s="39" t="e">
        <f t="shared" si="1"/>
        <v>#REF!</v>
      </c>
    </row>
    <row r="38" spans="1:6" hidden="1">
      <c r="A38" s="34">
        <v>9</v>
      </c>
      <c r="B38" s="41" t="s">
        <v>35</v>
      </c>
      <c r="C38" s="59" t="s">
        <v>4</v>
      </c>
      <c r="D38" s="167">
        <f>+D37</f>
        <v>0.86190000000000011</v>
      </c>
      <c r="E38" s="64" t="e">
        <f>+VLOOKUP(B38,#REF!,6,)</f>
        <v>#REF!</v>
      </c>
      <c r="F38" s="39" t="e">
        <f t="shared" si="1"/>
        <v>#REF!</v>
      </c>
    </row>
    <row r="39" spans="1:6" hidden="1">
      <c r="A39" s="34">
        <v>10</v>
      </c>
      <c r="B39" s="41" t="s">
        <v>79</v>
      </c>
      <c r="C39" s="120" t="s">
        <v>3</v>
      </c>
      <c r="D39" s="167">
        <f>1*0.65</f>
        <v>0.65</v>
      </c>
      <c r="E39" s="64" t="e">
        <f>+VLOOKUP(B39,#REF!,6,)</f>
        <v>#REF!</v>
      </c>
      <c r="F39" s="39" t="e">
        <f t="shared" si="1"/>
        <v>#REF!</v>
      </c>
    </row>
    <row r="40" spans="1:6" hidden="1">
      <c r="A40" s="34">
        <v>11</v>
      </c>
      <c r="B40" s="41" t="s">
        <v>34</v>
      </c>
      <c r="C40" s="59" t="s">
        <v>32</v>
      </c>
      <c r="D40" s="42">
        <v>4</v>
      </c>
      <c r="E40" s="64" t="e">
        <f>+VLOOKUP(B40,#REF!,6,)</f>
        <v>#REF!</v>
      </c>
      <c r="F40" s="39" t="e">
        <f t="shared" si="1"/>
        <v>#REF!</v>
      </c>
    </row>
    <row r="41" spans="1:6" hidden="1">
      <c r="A41" s="34">
        <v>12</v>
      </c>
      <c r="B41" s="41" t="s">
        <v>194</v>
      </c>
      <c r="C41" s="59" t="s">
        <v>32</v>
      </c>
      <c r="D41" s="42">
        <v>1</v>
      </c>
      <c r="E41" s="38">
        <v>150</v>
      </c>
      <c r="F41" s="39">
        <f t="shared" si="1"/>
        <v>150</v>
      </c>
    </row>
    <row r="42" spans="1:6" hidden="1">
      <c r="A42" s="34">
        <v>13</v>
      </c>
      <c r="B42" s="41" t="s">
        <v>80</v>
      </c>
      <c r="C42" s="59" t="s">
        <v>4</v>
      </c>
      <c r="D42" s="167">
        <f>(1*0.65*0.3)-(4*PI()*0.05^2)</f>
        <v>0.16358407346410209</v>
      </c>
      <c r="E42" s="64" t="e">
        <f>+VLOOKUP(B42,#REF!,6,)</f>
        <v>#REF!</v>
      </c>
      <c r="F42" s="39" t="e">
        <f t="shared" si="1"/>
        <v>#REF!</v>
      </c>
    </row>
    <row r="43" spans="1:6" hidden="1">
      <c r="A43" s="34">
        <v>14</v>
      </c>
      <c r="B43" s="41" t="s">
        <v>81</v>
      </c>
      <c r="C43" s="59" t="s">
        <v>4</v>
      </c>
      <c r="D43" s="42">
        <f>1*0.65*0.25</f>
        <v>0.16250000000000001</v>
      </c>
      <c r="E43" s="64" t="e">
        <f>+VLOOKUP(B43,#REF!,6,)</f>
        <v>#REF!</v>
      </c>
      <c r="F43" s="39" t="e">
        <f t="shared" si="1"/>
        <v>#REF!</v>
      </c>
    </row>
    <row r="44" spans="1:6" hidden="1">
      <c r="A44" s="34">
        <v>15</v>
      </c>
      <c r="B44" s="41" t="s">
        <v>82</v>
      </c>
      <c r="C44" s="59" t="s">
        <v>4</v>
      </c>
      <c r="D44" s="42">
        <f>1*0.65*0.2</f>
        <v>0.13</v>
      </c>
      <c r="E44" s="64" t="e">
        <f>+VLOOKUP(B44,#REF!,6,)</f>
        <v>#REF!</v>
      </c>
      <c r="F44" s="39" t="e">
        <f t="shared" si="1"/>
        <v>#REF!</v>
      </c>
    </row>
    <row r="45" spans="1:6" hidden="1">
      <c r="A45" s="34">
        <v>16</v>
      </c>
      <c r="B45" s="35" t="s">
        <v>136</v>
      </c>
      <c r="C45" s="59" t="s">
        <v>28</v>
      </c>
      <c r="D45" s="68">
        <f>((0.65/0.15)*1*1)+((1/0.15)*1*1)*2</f>
        <v>17.666666666666668</v>
      </c>
      <c r="E45" s="64" t="e">
        <f>+VLOOKUP(B45,#REF!,6,)</f>
        <v>#REF!</v>
      </c>
      <c r="F45" s="39" t="e">
        <f t="shared" si="1"/>
        <v>#REF!</v>
      </c>
    </row>
    <row r="46" spans="1:6" hidden="1">
      <c r="A46" s="34">
        <v>17</v>
      </c>
      <c r="B46" s="175" t="s">
        <v>199</v>
      </c>
      <c r="C46" s="59" t="s">
        <v>4</v>
      </c>
      <c r="D46" s="42">
        <f>0.65*0.2*1</f>
        <v>0.13</v>
      </c>
      <c r="E46" s="64" t="e">
        <f>+VLOOKUP(B46,#REF!,6,)</f>
        <v>#REF!</v>
      </c>
      <c r="F46" s="39" t="e">
        <f t="shared" si="1"/>
        <v>#REF!</v>
      </c>
    </row>
    <row r="47" spans="1:6" ht="15.75" hidden="1" thickBot="1">
      <c r="A47" s="34">
        <v>18</v>
      </c>
      <c r="B47" s="45" t="s">
        <v>197</v>
      </c>
      <c r="C47" s="46" t="s">
        <v>3</v>
      </c>
      <c r="D47" s="169">
        <v>4</v>
      </c>
      <c r="E47" s="171">
        <v>120000</v>
      </c>
      <c r="F47" s="47">
        <f t="shared" si="1"/>
        <v>480000</v>
      </c>
    </row>
    <row r="48" spans="1:6" hidden="1">
      <c r="A48" s="92"/>
      <c r="B48" s="92"/>
      <c r="C48" s="92"/>
      <c r="D48" s="92"/>
      <c r="E48" s="92"/>
      <c r="F48" s="92"/>
    </row>
    <row r="49" spans="1:20" ht="16.5" hidden="1" thickBot="1">
      <c r="A49" s="688" t="s">
        <v>5</v>
      </c>
      <c r="B49" s="689"/>
      <c r="C49" s="689"/>
      <c r="D49" s="689"/>
      <c r="E49" s="690"/>
      <c r="F49" s="67" t="e">
        <f>ROUND(SUM(F30:F47),0)</f>
        <v>#REF!</v>
      </c>
    </row>
    <row r="51" spans="1:20" s="173" customFormat="1" ht="40.5" customHeight="1">
      <c r="H51" s="168"/>
      <c r="I51" s="92"/>
      <c r="J51" s="190"/>
      <c r="K51" s="294"/>
      <c r="L51" s="195"/>
      <c r="M51" s="194"/>
      <c r="N51" s="174"/>
      <c r="O51" s="172"/>
      <c r="P51" s="172"/>
      <c r="Q51" s="172"/>
      <c r="R51" s="172"/>
      <c r="S51" s="172"/>
      <c r="T51" s="172"/>
    </row>
    <row r="52" spans="1:20">
      <c r="B52" s="55"/>
      <c r="G52" s="55"/>
      <c r="H52" s="138"/>
      <c r="P52" s="93"/>
      <c r="Q52" s="93"/>
      <c r="R52" s="93"/>
      <c r="S52" s="93"/>
      <c r="T52" s="93"/>
    </row>
    <row r="53" spans="1:20" ht="15.75">
      <c r="B53" s="55"/>
      <c r="G53" s="55"/>
      <c r="I53" s="539"/>
      <c r="J53" s="539"/>
      <c r="K53" s="198"/>
      <c r="L53" s="198"/>
      <c r="M53" s="539"/>
      <c r="N53" s="231"/>
      <c r="O53" s="198"/>
      <c r="P53" s="93"/>
      <c r="Q53" s="93"/>
      <c r="R53" s="93"/>
      <c r="S53" s="93"/>
      <c r="T53" s="93"/>
    </row>
    <row r="54" spans="1:20" ht="15.75">
      <c r="B54" s="55"/>
      <c r="G54" s="55"/>
      <c r="I54" s="190"/>
      <c r="J54" s="227"/>
      <c r="K54" s="228"/>
      <c r="L54" s="293"/>
      <c r="M54" s="542"/>
      <c r="N54" s="543"/>
      <c r="O54" s="544"/>
      <c r="P54" s="93"/>
      <c r="Q54" s="93"/>
      <c r="R54" s="93"/>
      <c r="S54" s="93"/>
      <c r="T54" s="93"/>
    </row>
    <row r="55" spans="1:20">
      <c r="B55" s="55"/>
      <c r="G55" s="55"/>
      <c r="I55" s="190"/>
      <c r="J55" s="545"/>
      <c r="K55" s="546"/>
      <c r="L55" s="547"/>
      <c r="M55" s="548"/>
      <c r="N55" s="549"/>
      <c r="O55" s="550"/>
      <c r="P55" s="93"/>
      <c r="Q55" s="93"/>
      <c r="R55" s="93"/>
      <c r="S55" s="93"/>
      <c r="T55" s="93"/>
    </row>
    <row r="56" spans="1:20">
      <c r="B56" s="55"/>
      <c r="G56" s="55"/>
      <c r="I56" s="190"/>
      <c r="J56" s="545"/>
      <c r="K56" s="546"/>
      <c r="L56" s="547"/>
      <c r="M56" s="548"/>
      <c r="N56" s="551"/>
      <c r="O56" s="550"/>
      <c r="P56" s="93"/>
      <c r="Q56" s="93"/>
      <c r="R56" s="93"/>
      <c r="S56" s="93"/>
      <c r="T56" s="93"/>
    </row>
    <row r="57" spans="1:20" ht="15.75" thickBot="1">
      <c r="B57" s="55"/>
      <c r="G57" s="55"/>
      <c r="I57" s="190"/>
      <c r="J57" s="545"/>
      <c r="K57" s="546"/>
      <c r="L57" s="547"/>
      <c r="M57" s="548"/>
      <c r="N57" s="551"/>
      <c r="O57" s="550"/>
      <c r="P57" s="93"/>
      <c r="Q57" s="93"/>
      <c r="R57" s="93"/>
      <c r="S57" s="93"/>
      <c r="T57" s="93"/>
    </row>
    <row r="58" spans="1:20" ht="15.75">
      <c r="B58" s="691" t="s">
        <v>204</v>
      </c>
      <c r="C58" s="692"/>
      <c r="D58" s="692"/>
      <c r="E58" s="692"/>
      <c r="F58" s="693"/>
      <c r="G58" s="55"/>
      <c r="I58" s="539"/>
      <c r="J58" s="539"/>
      <c r="K58" s="198"/>
      <c r="L58" s="198"/>
      <c r="M58" s="539"/>
      <c r="N58" s="198"/>
      <c r="O58" s="200"/>
      <c r="P58" s="93"/>
      <c r="Q58" s="93"/>
      <c r="R58" s="93"/>
      <c r="S58" s="93"/>
      <c r="T58" s="93"/>
    </row>
    <row r="59" spans="1:20">
      <c r="B59" s="694"/>
      <c r="C59" s="695"/>
      <c r="D59" s="695"/>
      <c r="E59" s="695"/>
      <c r="F59" s="696"/>
      <c r="G59" s="55"/>
      <c r="I59" s="190"/>
      <c r="J59" s="190"/>
      <c r="K59" s="174"/>
      <c r="L59" s="195"/>
      <c r="M59" s="194"/>
      <c r="N59" s="294"/>
      <c r="O59" s="172"/>
      <c r="P59" s="93"/>
      <c r="Q59" s="93"/>
      <c r="R59" s="93"/>
      <c r="S59" s="93"/>
      <c r="T59" s="93"/>
    </row>
    <row r="60" spans="1:20">
      <c r="B60" s="694"/>
      <c r="C60" s="695"/>
      <c r="D60" s="695"/>
      <c r="E60" s="695"/>
      <c r="F60" s="696"/>
      <c r="G60" s="55"/>
      <c r="I60" s="190"/>
      <c r="J60" s="190"/>
      <c r="K60" s="294"/>
      <c r="L60" s="195"/>
      <c r="M60" s="194"/>
      <c r="N60" s="174"/>
      <c r="O60" s="172"/>
      <c r="P60" s="93"/>
      <c r="Q60" s="93"/>
      <c r="R60" s="93"/>
      <c r="S60" s="93"/>
      <c r="T60" s="93"/>
    </row>
    <row r="61" spans="1:20" ht="15.75">
      <c r="B61" s="694"/>
      <c r="C61" s="695"/>
      <c r="D61" s="695"/>
      <c r="E61" s="695"/>
      <c r="F61" s="696"/>
      <c r="G61" s="55"/>
      <c r="I61" s="539"/>
      <c r="J61" s="539"/>
      <c r="K61" s="198"/>
      <c r="L61" s="198"/>
      <c r="M61" s="539"/>
      <c r="N61" s="231"/>
      <c r="O61" s="198"/>
      <c r="P61" s="93"/>
      <c r="Q61" s="93"/>
      <c r="R61" s="93"/>
      <c r="S61" s="93"/>
      <c r="T61" s="93"/>
    </row>
    <row r="62" spans="1:20" ht="15.75">
      <c r="B62" s="694"/>
      <c r="C62" s="695"/>
      <c r="D62" s="695"/>
      <c r="E62" s="695"/>
      <c r="F62" s="696"/>
      <c r="G62" s="55"/>
      <c r="I62" s="190"/>
      <c r="J62" s="227"/>
      <c r="K62" s="546"/>
      <c r="L62" s="552"/>
      <c r="M62" s="196"/>
      <c r="N62" s="553"/>
      <c r="O62" s="200"/>
      <c r="P62" s="93"/>
      <c r="Q62" s="93"/>
      <c r="R62" s="93"/>
      <c r="S62" s="93"/>
      <c r="T62" s="93"/>
    </row>
    <row r="63" spans="1:20" ht="15.75" customHeight="1">
      <c r="B63" s="694"/>
      <c r="C63" s="695"/>
      <c r="D63" s="695"/>
      <c r="E63" s="695"/>
      <c r="F63" s="696"/>
      <c r="G63" s="55"/>
      <c r="I63" s="190"/>
      <c r="J63" s="545"/>
      <c r="K63" s="190"/>
      <c r="L63" s="554"/>
      <c r="M63" s="555"/>
      <c r="N63" s="556"/>
      <c r="O63" s="196"/>
      <c r="P63" s="93"/>
      <c r="Q63" s="93"/>
      <c r="R63" s="93"/>
      <c r="S63" s="93"/>
      <c r="T63" s="93"/>
    </row>
    <row r="64" spans="1:20">
      <c r="B64" s="694"/>
      <c r="C64" s="695"/>
      <c r="D64" s="695"/>
      <c r="E64" s="695"/>
      <c r="F64" s="696"/>
      <c r="G64" s="55"/>
      <c r="I64" s="190"/>
      <c r="J64" s="545"/>
      <c r="K64" s="190"/>
      <c r="L64" s="554"/>
      <c r="M64" s="555"/>
      <c r="N64" s="556"/>
      <c r="O64" s="196"/>
      <c r="P64" s="93"/>
      <c r="Q64" s="93"/>
      <c r="R64" s="93"/>
      <c r="S64" s="93"/>
      <c r="T64" s="93"/>
    </row>
    <row r="65" spans="2:20">
      <c r="B65" s="694"/>
      <c r="C65" s="695"/>
      <c r="D65" s="695"/>
      <c r="E65" s="695"/>
      <c r="F65" s="696"/>
      <c r="G65" s="55"/>
      <c r="I65" s="190"/>
      <c r="J65" s="545"/>
      <c r="K65" s="190"/>
      <c r="L65" s="554"/>
      <c r="M65" s="196"/>
      <c r="N65" s="174"/>
      <c r="O65" s="196"/>
      <c r="P65" s="93"/>
      <c r="Q65" s="93"/>
      <c r="R65" s="93"/>
      <c r="S65" s="93"/>
      <c r="T65" s="93"/>
    </row>
    <row r="66" spans="2:20" ht="16.5" customHeight="1">
      <c r="B66" s="694"/>
      <c r="C66" s="695"/>
      <c r="D66" s="695"/>
      <c r="E66" s="695"/>
      <c r="F66" s="696"/>
      <c r="G66" s="55"/>
      <c r="I66" s="190"/>
      <c r="J66" s="545"/>
      <c r="K66" s="190"/>
      <c r="L66" s="554"/>
      <c r="M66" s="196"/>
      <c r="N66" s="174"/>
      <c r="O66" s="196"/>
      <c r="P66" s="93"/>
      <c r="Q66" s="93"/>
      <c r="R66" s="93"/>
      <c r="S66" s="93"/>
      <c r="T66" s="93"/>
    </row>
    <row r="67" spans="2:20">
      <c r="B67" s="694"/>
      <c r="C67" s="695"/>
      <c r="D67" s="695"/>
      <c r="E67" s="695"/>
      <c r="F67" s="696"/>
      <c r="G67" s="55"/>
      <c r="I67" s="190"/>
      <c r="J67" s="545"/>
      <c r="K67" s="190"/>
      <c r="L67" s="557"/>
      <c r="M67" s="196"/>
      <c r="N67" s="557"/>
      <c r="O67" s="196"/>
      <c r="P67" s="93"/>
      <c r="Q67" s="93"/>
      <c r="R67" s="93"/>
      <c r="S67" s="93"/>
      <c r="T67" s="93"/>
    </row>
    <row r="68" spans="2:20">
      <c r="B68" s="694"/>
      <c r="C68" s="695"/>
      <c r="D68" s="695"/>
      <c r="E68" s="695"/>
      <c r="F68" s="696"/>
      <c r="G68" s="55"/>
      <c r="I68" s="190"/>
      <c r="J68" s="545"/>
      <c r="K68" s="190"/>
      <c r="L68" s="174"/>
      <c r="M68" s="196"/>
      <c r="N68" s="174"/>
      <c r="O68" s="196"/>
      <c r="P68" s="93"/>
      <c r="Q68" s="93"/>
      <c r="R68" s="93"/>
      <c r="S68" s="93"/>
      <c r="T68" s="93"/>
    </row>
    <row r="69" spans="2:20" ht="15.75">
      <c r="B69" s="694"/>
      <c r="C69" s="695"/>
      <c r="D69" s="695"/>
      <c r="E69" s="695"/>
      <c r="F69" s="696"/>
      <c r="G69" s="55"/>
      <c r="I69" s="539"/>
      <c r="J69" s="539"/>
      <c r="K69" s="198"/>
      <c r="L69" s="198"/>
      <c r="M69" s="539"/>
      <c r="N69" s="198"/>
      <c r="O69" s="200"/>
      <c r="P69" s="93"/>
      <c r="Q69" s="93"/>
      <c r="R69" s="93"/>
      <c r="S69" s="93"/>
      <c r="T69" s="93"/>
    </row>
    <row r="70" spans="2:20">
      <c r="B70" s="694"/>
      <c r="C70" s="695"/>
      <c r="D70" s="695"/>
      <c r="E70" s="695"/>
      <c r="F70" s="696"/>
      <c r="G70" s="55"/>
      <c r="I70" s="190"/>
      <c r="J70" s="190"/>
      <c r="K70" s="174"/>
      <c r="L70" s="174"/>
      <c r="M70" s="93"/>
      <c r="N70" s="174"/>
      <c r="O70" s="93"/>
      <c r="P70" s="93"/>
      <c r="Q70" s="93"/>
      <c r="R70" s="93"/>
      <c r="S70" s="93"/>
      <c r="T70" s="93"/>
    </row>
    <row r="71" spans="2:20" ht="16.5" thickBot="1">
      <c r="B71" s="697"/>
      <c r="C71" s="698"/>
      <c r="D71" s="698"/>
      <c r="E71" s="698"/>
      <c r="F71" s="699"/>
      <c r="G71" s="55"/>
      <c r="I71" s="539"/>
      <c r="J71" s="539"/>
      <c r="K71" s="198"/>
      <c r="L71" s="198"/>
      <c r="M71" s="539"/>
      <c r="N71" s="231"/>
      <c r="O71" s="198"/>
      <c r="P71" s="93"/>
      <c r="Q71" s="93"/>
      <c r="R71" s="93"/>
      <c r="S71" s="93"/>
      <c r="T71" s="93"/>
    </row>
    <row r="72" spans="2:20" ht="20.25">
      <c r="B72" s="55"/>
      <c r="G72" s="55"/>
      <c r="I72" s="558"/>
      <c r="J72" s="249"/>
      <c r="K72" s="198"/>
      <c r="L72" s="198"/>
      <c r="M72" s="539"/>
      <c r="N72" s="198"/>
      <c r="O72" s="559"/>
      <c r="P72" s="93"/>
      <c r="Q72" s="93"/>
      <c r="R72" s="93"/>
      <c r="S72" s="93"/>
      <c r="T72" s="93"/>
    </row>
    <row r="73" spans="2:20" ht="15.75">
      <c r="B73" s="55"/>
      <c r="G73" s="55"/>
      <c r="I73" s="560"/>
      <c r="J73" s="276"/>
      <c r="K73" s="190"/>
      <c r="L73" s="561"/>
      <c r="M73" s="562"/>
      <c r="N73" s="190"/>
      <c r="O73" s="563"/>
      <c r="P73" s="93"/>
      <c r="Q73" s="93"/>
      <c r="R73" s="93"/>
      <c r="S73" s="93"/>
      <c r="T73" s="93"/>
    </row>
    <row r="74" spans="2:20" ht="24.75" customHeight="1">
      <c r="B74" s="55"/>
      <c r="G74" s="55"/>
      <c r="I74" s="560"/>
      <c r="J74" s="276"/>
      <c r="K74" s="190"/>
      <c r="L74" s="190"/>
      <c r="M74" s="562"/>
      <c r="N74" s="190"/>
      <c r="O74" s="563"/>
      <c r="P74" s="93"/>
      <c r="Q74" s="93"/>
      <c r="R74" s="93"/>
      <c r="S74" s="93"/>
      <c r="T74" s="93"/>
    </row>
    <row r="75" spans="2:20" ht="15.75">
      <c r="B75" s="55"/>
      <c r="G75" s="55"/>
      <c r="I75" s="560"/>
      <c r="J75" s="276"/>
      <c r="K75" s="190"/>
      <c r="L75" s="561"/>
      <c r="M75" s="562"/>
      <c r="N75" s="190"/>
      <c r="O75" s="563"/>
      <c r="P75" s="93"/>
      <c r="Q75" s="93"/>
      <c r="R75" s="93"/>
      <c r="S75" s="93"/>
      <c r="T75" s="93"/>
    </row>
    <row r="76" spans="2:20" ht="15.75">
      <c r="B76" s="55"/>
      <c r="G76" s="55">
        <f>0.02*6*4</f>
        <v>0.48</v>
      </c>
      <c r="I76" s="560"/>
      <c r="J76" s="276"/>
      <c r="K76" s="190"/>
      <c r="L76" s="561"/>
      <c r="M76" s="562"/>
      <c r="N76" s="190"/>
      <c r="O76" s="563"/>
      <c r="P76" s="93"/>
      <c r="Q76" s="93"/>
      <c r="R76" s="93"/>
      <c r="S76" s="93"/>
      <c r="T76" s="93"/>
    </row>
    <row r="77" spans="2:20" ht="15.75">
      <c r="B77" s="55"/>
      <c r="G77" s="55"/>
      <c r="I77" s="539"/>
      <c r="J77" s="539"/>
      <c r="K77" s="198"/>
      <c r="L77" s="198"/>
      <c r="M77" s="539"/>
      <c r="N77" s="198"/>
      <c r="O77" s="200"/>
      <c r="P77" s="93"/>
      <c r="Q77" s="93"/>
      <c r="R77" s="93"/>
      <c r="S77" s="93"/>
      <c r="T77" s="93"/>
    </row>
    <row r="78" spans="2:20">
      <c r="I78" s="190"/>
      <c r="J78" s="190"/>
      <c r="K78" s="174"/>
      <c r="L78" s="174"/>
      <c r="M78" s="93"/>
      <c r="N78" s="174"/>
      <c r="O78" s="93"/>
      <c r="P78" s="93"/>
      <c r="Q78" s="93"/>
      <c r="R78" s="93"/>
      <c r="S78" s="93"/>
      <c r="T78" s="93"/>
    </row>
    <row r="79" spans="2:20" ht="15.75">
      <c r="I79" s="539"/>
      <c r="J79" s="539"/>
      <c r="K79" s="198"/>
      <c r="L79" s="198"/>
      <c r="M79" s="539"/>
      <c r="N79" s="564"/>
      <c r="O79" s="198"/>
      <c r="P79" s="93"/>
      <c r="Q79" s="93"/>
      <c r="R79" s="93"/>
      <c r="S79" s="93"/>
      <c r="T79" s="93"/>
    </row>
    <row r="80" spans="2:20" ht="21" thickBot="1">
      <c r="I80" s="190"/>
      <c r="J80" s="565"/>
      <c r="K80" s="228"/>
      <c r="L80" s="566"/>
      <c r="M80" s="567"/>
      <c r="N80" s="568"/>
      <c r="O80" s="569"/>
      <c r="P80" s="93"/>
      <c r="Q80" s="93"/>
      <c r="R80" s="93"/>
      <c r="S80" s="93"/>
      <c r="T80" s="93"/>
    </row>
    <row r="81" spans="1:20" ht="27.6" customHeight="1" thickBot="1">
      <c r="A81" s="309"/>
      <c r="B81" s="700" t="e">
        <f>+#REF!</f>
        <v>#REF!</v>
      </c>
      <c r="C81" s="700"/>
      <c r="D81" s="700"/>
      <c r="E81" s="700"/>
      <c r="F81" s="310" t="s">
        <v>182</v>
      </c>
      <c r="G81" s="138"/>
      <c r="I81" s="190"/>
      <c r="J81" s="545"/>
      <c r="K81" s="546"/>
      <c r="L81" s="570"/>
      <c r="M81" s="571"/>
      <c r="N81" s="546"/>
      <c r="O81" s="572"/>
      <c r="P81" s="93"/>
      <c r="Q81" s="93"/>
      <c r="R81" s="93"/>
      <c r="S81" s="93"/>
      <c r="T81" s="93"/>
    </row>
    <row r="82" spans="1:20" ht="36.75" customHeight="1">
      <c r="A82" s="311" t="s">
        <v>208</v>
      </c>
      <c r="B82" s="312" t="s">
        <v>7</v>
      </c>
      <c r="C82" s="313" t="s">
        <v>0</v>
      </c>
      <c r="D82" s="313" t="s">
        <v>8</v>
      </c>
      <c r="E82" s="313" t="s">
        <v>2</v>
      </c>
      <c r="F82" s="314" t="s">
        <v>9</v>
      </c>
      <c r="G82" s="288"/>
      <c r="H82" s="63"/>
      <c r="I82" s="190"/>
      <c r="J82" s="573"/>
      <c r="K82" s="546"/>
      <c r="L82" s="570"/>
      <c r="M82" s="571"/>
      <c r="N82" s="546"/>
      <c r="O82" s="572"/>
      <c r="P82" s="94"/>
      <c r="Q82" s="93"/>
      <c r="R82" s="93"/>
      <c r="S82" s="93"/>
      <c r="T82" s="93"/>
    </row>
    <row r="83" spans="1:20" ht="15.75">
      <c r="A83" s="315"/>
      <c r="B83" s="316" t="s">
        <v>210</v>
      </c>
      <c r="C83" s="317" t="s">
        <v>32</v>
      </c>
      <c r="D83" s="318">
        <f>4</f>
        <v>4</v>
      </c>
      <c r="E83" s="319"/>
      <c r="F83" s="320"/>
      <c r="G83" s="288"/>
      <c r="H83" s="63"/>
      <c r="I83" s="190"/>
      <c r="J83" s="573"/>
      <c r="K83" s="546"/>
      <c r="L83" s="570"/>
      <c r="M83" s="571"/>
      <c r="N83" s="574"/>
      <c r="O83" s="572"/>
      <c r="P83" s="95"/>
      <c r="Q83" s="93"/>
      <c r="R83" s="93"/>
      <c r="S83" s="93"/>
      <c r="T83" s="93"/>
    </row>
    <row r="84" spans="1:20" ht="18.75" customHeight="1">
      <c r="A84" s="315"/>
      <c r="B84" s="321" t="s">
        <v>34</v>
      </c>
      <c r="C84" s="322" t="s">
        <v>32</v>
      </c>
      <c r="D84" s="318">
        <f>4</f>
        <v>4</v>
      </c>
      <c r="E84" s="319"/>
      <c r="F84" s="320"/>
      <c r="G84" s="288"/>
      <c r="H84" s="63"/>
      <c r="I84" s="190"/>
      <c r="J84" s="573"/>
      <c r="K84" s="546"/>
      <c r="L84" s="570"/>
      <c r="M84" s="571"/>
      <c r="N84" s="546"/>
      <c r="O84" s="572"/>
      <c r="P84" s="95"/>
      <c r="Q84" s="93"/>
      <c r="R84" s="93"/>
      <c r="S84" s="93"/>
      <c r="T84" s="93"/>
    </row>
    <row r="85" spans="1:20" ht="16.5" customHeight="1">
      <c r="A85" s="315"/>
      <c r="B85" s="323" t="s">
        <v>56</v>
      </c>
      <c r="C85" s="317" t="s">
        <v>4</v>
      </c>
      <c r="D85" s="318">
        <f>(((0.1016*0.1016*3.1416)/4)*4*1.3)</f>
        <v>4.2158160844800001E-2</v>
      </c>
      <c r="E85" s="319"/>
      <c r="F85" s="320"/>
      <c r="G85" s="288"/>
      <c r="H85" s="63"/>
      <c r="I85" s="539"/>
      <c r="J85" s="539"/>
      <c r="K85" s="198"/>
      <c r="L85" s="198"/>
      <c r="M85" s="539"/>
      <c r="N85" s="198"/>
      <c r="O85" s="200"/>
      <c r="P85" s="95"/>
      <c r="Q85" s="93"/>
      <c r="R85" s="93"/>
      <c r="S85" s="93"/>
      <c r="T85" s="93"/>
    </row>
    <row r="86" spans="1:20" ht="21" customHeight="1">
      <c r="A86" s="315"/>
      <c r="B86" s="323" t="s">
        <v>35</v>
      </c>
      <c r="C86" s="317" t="s">
        <v>4</v>
      </c>
      <c r="D86" s="318">
        <f>+D85</f>
        <v>4.2158160844800001E-2</v>
      </c>
      <c r="E86" s="319"/>
      <c r="F86" s="320"/>
      <c r="G86" s="288"/>
      <c r="H86" s="63"/>
      <c r="I86" s="179"/>
      <c r="J86" s="190"/>
      <c r="K86" s="174"/>
      <c r="L86" s="174"/>
      <c r="M86" s="93"/>
      <c r="N86" s="174"/>
      <c r="O86" s="93"/>
      <c r="P86" s="95"/>
      <c r="Q86" s="93"/>
      <c r="R86" s="93"/>
      <c r="S86" s="93"/>
      <c r="T86" s="93"/>
    </row>
    <row r="87" spans="1:20" ht="16.5" thickBot="1">
      <c r="A87" s="273"/>
      <c r="B87" s="274"/>
      <c r="C87" s="273"/>
      <c r="D87" s="273"/>
      <c r="E87" s="273"/>
      <c r="F87" s="273"/>
      <c r="G87" s="138"/>
      <c r="I87" s="539"/>
      <c r="J87" s="539"/>
      <c r="K87" s="198"/>
      <c r="L87" s="198"/>
      <c r="M87" s="539"/>
      <c r="N87" s="564"/>
      <c r="O87" s="198"/>
      <c r="P87" s="93"/>
      <c r="Q87" s="93"/>
      <c r="R87" s="93"/>
      <c r="S87" s="93"/>
      <c r="T87" s="93"/>
    </row>
    <row r="88" spans="1:20" ht="21" thickBot="1">
      <c r="A88" s="701" t="s">
        <v>5</v>
      </c>
      <c r="B88" s="702"/>
      <c r="C88" s="702"/>
      <c r="D88" s="702"/>
      <c r="E88" s="702"/>
      <c r="F88" s="324">
        <f>ROUND(SUM(F83:F86),0)</f>
        <v>0</v>
      </c>
      <c r="G88" s="138"/>
      <c r="I88" s="575"/>
      <c r="J88" s="539"/>
      <c r="K88" s="576"/>
      <c r="L88" s="577"/>
      <c r="M88" s="578"/>
      <c r="N88" s="577"/>
      <c r="O88" s="200"/>
      <c r="P88" s="93"/>
      <c r="Q88" s="93"/>
      <c r="R88" s="93"/>
      <c r="S88" s="93"/>
      <c r="T88" s="93"/>
    </row>
    <row r="89" spans="1:20">
      <c r="G89" s="138"/>
      <c r="I89" s="179"/>
      <c r="J89" s="545"/>
      <c r="K89" s="174"/>
      <c r="L89" s="557"/>
      <c r="M89" s="196"/>
      <c r="N89" s="557"/>
      <c r="O89" s="196"/>
      <c r="P89" s="93"/>
      <c r="Q89" s="93"/>
      <c r="R89" s="93"/>
      <c r="S89" s="93"/>
      <c r="T89" s="93"/>
    </row>
    <row r="90" spans="1:20" ht="15.75" thickBot="1">
      <c r="G90" s="138"/>
      <c r="I90" s="179"/>
      <c r="J90" s="545"/>
      <c r="K90" s="174"/>
      <c r="L90" s="557"/>
      <c r="M90" s="196"/>
      <c r="N90" s="557"/>
      <c r="O90" s="196"/>
      <c r="P90" s="93"/>
      <c r="Q90" s="93"/>
      <c r="R90" s="93"/>
      <c r="S90" s="93"/>
      <c r="T90" s="93"/>
    </row>
    <row r="91" spans="1:20" ht="35.25" customHeight="1" thickBot="1">
      <c r="A91" s="309"/>
      <c r="B91" s="700" t="s">
        <v>268</v>
      </c>
      <c r="C91" s="700"/>
      <c r="D91" s="700"/>
      <c r="E91" s="700"/>
      <c r="F91" s="310" t="s">
        <v>60</v>
      </c>
      <c r="G91" s="138"/>
      <c r="I91" s="179"/>
      <c r="J91" s="545"/>
      <c r="K91" s="174"/>
      <c r="L91" s="557"/>
      <c r="M91" s="196"/>
      <c r="N91" s="557"/>
      <c r="O91" s="196"/>
      <c r="P91" s="93"/>
      <c r="Q91" s="93"/>
      <c r="R91" s="93"/>
      <c r="S91" s="93"/>
      <c r="T91" s="93"/>
    </row>
    <row r="92" spans="1:20" ht="30" customHeight="1">
      <c r="A92" s="311" t="s">
        <v>234</v>
      </c>
      <c r="B92" s="312" t="s">
        <v>7</v>
      </c>
      <c r="C92" s="313" t="s">
        <v>0</v>
      </c>
      <c r="D92" s="313" t="s">
        <v>8</v>
      </c>
      <c r="E92" s="313" t="s">
        <v>2</v>
      </c>
      <c r="F92" s="314" t="s">
        <v>9</v>
      </c>
      <c r="G92" s="288"/>
      <c r="H92" s="63"/>
      <c r="I92" s="539"/>
      <c r="J92" s="539"/>
      <c r="K92" s="198"/>
      <c r="L92" s="198"/>
      <c r="M92" s="539"/>
      <c r="N92" s="198"/>
      <c r="O92" s="200"/>
      <c r="P92" s="94"/>
      <c r="Q92" s="93"/>
      <c r="R92" s="93"/>
      <c r="S92" s="93"/>
      <c r="T92" s="93"/>
    </row>
    <row r="93" spans="1:20" ht="23.1" customHeight="1">
      <c r="A93" s="315"/>
      <c r="B93" s="316" t="s">
        <v>31</v>
      </c>
      <c r="C93" s="325" t="s">
        <v>32</v>
      </c>
      <c r="D93" s="326">
        <v>4</v>
      </c>
      <c r="E93" s="319"/>
      <c r="F93" s="320"/>
      <c r="G93" s="288"/>
      <c r="H93" s="63"/>
      <c r="I93" s="190"/>
      <c r="J93" s="190"/>
      <c r="K93" s="174"/>
      <c r="L93" s="174"/>
      <c r="M93" s="93"/>
      <c r="N93" s="174"/>
      <c r="O93" s="93"/>
      <c r="P93" s="91"/>
      <c r="Q93" s="93"/>
      <c r="R93" s="93"/>
      <c r="S93" s="93"/>
      <c r="T93" s="93"/>
    </row>
    <row r="94" spans="1:20" ht="30">
      <c r="A94" s="315"/>
      <c r="B94" s="316" t="s">
        <v>53</v>
      </c>
      <c r="C94" s="327" t="s">
        <v>32</v>
      </c>
      <c r="D94" s="328">
        <v>2.5</v>
      </c>
      <c r="E94" s="329"/>
      <c r="F94" s="320"/>
      <c r="G94" s="288"/>
      <c r="H94" s="63"/>
      <c r="I94" s="539"/>
      <c r="J94" s="539"/>
      <c r="K94" s="198"/>
      <c r="L94" s="198"/>
      <c r="M94" s="539"/>
      <c r="N94" s="231"/>
      <c r="O94" s="198"/>
      <c r="P94" s="91"/>
      <c r="Q94" s="93"/>
      <c r="R94" s="93"/>
      <c r="S94" s="93"/>
      <c r="T94" s="93"/>
    </row>
    <row r="95" spans="1:20" ht="28.5" customHeight="1">
      <c r="A95" s="315"/>
      <c r="B95" s="330" t="s">
        <v>33</v>
      </c>
      <c r="C95" s="327" t="s">
        <v>27</v>
      </c>
      <c r="D95" s="331">
        <v>0.2</v>
      </c>
      <c r="E95" s="319"/>
      <c r="F95" s="320"/>
      <c r="G95" s="288"/>
      <c r="H95" s="63"/>
      <c r="I95" s="190"/>
      <c r="J95" s="579"/>
      <c r="K95" s="576"/>
      <c r="L95" s="577"/>
      <c r="M95" s="578"/>
      <c r="N95" s="577"/>
      <c r="O95" s="200"/>
      <c r="P95" s="95"/>
      <c r="Q95" s="93"/>
      <c r="R95" s="93"/>
      <c r="S95" s="93"/>
      <c r="T95" s="93"/>
    </row>
    <row r="96" spans="1:20" ht="27.95" customHeight="1">
      <c r="A96" s="315"/>
      <c r="B96" s="330" t="s">
        <v>74</v>
      </c>
      <c r="C96" s="327" t="s">
        <v>4</v>
      </c>
      <c r="D96" s="331">
        <f>3.5*0.8*0.2</f>
        <v>0.56000000000000005</v>
      </c>
      <c r="E96" s="319"/>
      <c r="F96" s="320"/>
      <c r="G96" s="288"/>
      <c r="H96" s="63"/>
      <c r="I96" s="237"/>
      <c r="J96" s="252"/>
      <c r="K96" s="174"/>
      <c r="L96" s="557"/>
      <c r="M96" s="196"/>
      <c r="N96" s="557"/>
      <c r="O96" s="196"/>
      <c r="P96" s="95"/>
      <c r="Q96" s="93"/>
      <c r="R96" s="93"/>
      <c r="S96" s="93"/>
      <c r="T96" s="93"/>
    </row>
    <row r="97" spans="1:23" ht="21.6" customHeight="1">
      <c r="A97" s="315"/>
      <c r="B97" s="332" t="s">
        <v>56</v>
      </c>
      <c r="C97" s="317" t="s">
        <v>4</v>
      </c>
      <c r="D97" s="318">
        <f>(D96*1.1*0.2)</f>
        <v>0.12320000000000003</v>
      </c>
      <c r="E97" s="319"/>
      <c r="F97" s="320"/>
      <c r="G97" s="288"/>
      <c r="H97" s="63"/>
      <c r="I97" s="190"/>
      <c r="J97" s="545"/>
      <c r="K97" s="174"/>
      <c r="L97" s="557"/>
      <c r="M97" s="196"/>
      <c r="N97" s="557"/>
      <c r="O97" s="196"/>
      <c r="P97" s="193"/>
      <c r="Q97" s="193"/>
      <c r="R97" s="193"/>
      <c r="S97" s="193"/>
      <c r="T97" s="193"/>
    </row>
    <row r="98" spans="1:23" ht="18.600000000000001" customHeight="1">
      <c r="A98" s="315"/>
      <c r="B98" s="332" t="s">
        <v>35</v>
      </c>
      <c r="C98" s="317" t="s">
        <v>4</v>
      </c>
      <c r="D98" s="318">
        <f>+D97</f>
        <v>0.12320000000000003</v>
      </c>
      <c r="E98" s="319"/>
      <c r="F98" s="320"/>
      <c r="G98" s="288"/>
      <c r="H98" s="63"/>
      <c r="I98" s="190"/>
      <c r="J98" s="545"/>
      <c r="K98" s="174"/>
      <c r="L98" s="557"/>
      <c r="M98" s="196"/>
      <c r="N98" s="557"/>
      <c r="O98" s="196"/>
      <c r="P98" s="65"/>
    </row>
    <row r="99" spans="1:23" ht="21" customHeight="1">
      <c r="A99" s="315"/>
      <c r="B99" s="330" t="s">
        <v>58</v>
      </c>
      <c r="C99" s="317" t="s">
        <v>4</v>
      </c>
      <c r="D99" s="318">
        <f>(D96-((0.1016*0.1016*3.1416)/4*4))*0.2</f>
        <v>0.10551412910080001</v>
      </c>
      <c r="E99" s="319"/>
      <c r="F99" s="320"/>
      <c r="G99" s="288"/>
      <c r="H99" s="63"/>
      <c r="I99" s="190"/>
      <c r="J99" s="545"/>
      <c r="K99" s="174"/>
      <c r="L99" s="557"/>
      <c r="M99" s="196"/>
      <c r="N99" s="557"/>
      <c r="O99" s="196"/>
      <c r="P99" s="65"/>
    </row>
    <row r="100" spans="1:23" ht="23.1" customHeight="1" thickBot="1">
      <c r="A100" s="333"/>
      <c r="B100" s="334" t="s">
        <v>36</v>
      </c>
      <c r="C100" s="335" t="s">
        <v>3</v>
      </c>
      <c r="D100" s="336">
        <f>+D96</f>
        <v>0.56000000000000005</v>
      </c>
      <c r="E100" s="337"/>
      <c r="F100" s="320"/>
      <c r="G100" s="288"/>
      <c r="H100" s="63"/>
      <c r="I100" s="539"/>
      <c r="J100" s="539"/>
      <c r="K100" s="198"/>
      <c r="L100" s="198"/>
      <c r="M100" s="539"/>
      <c r="N100" s="198"/>
      <c r="O100" s="200"/>
      <c r="P100" s="65"/>
    </row>
    <row r="101" spans="1:23" ht="21.75" customHeight="1" thickBot="1">
      <c r="A101" s="273"/>
      <c r="B101" s="274"/>
      <c r="C101" s="273"/>
      <c r="D101" s="273"/>
      <c r="E101" s="273"/>
      <c r="F101" s="273"/>
      <c r="G101" s="138"/>
      <c r="I101" s="190"/>
      <c r="J101" s="190"/>
      <c r="K101" s="174"/>
      <c r="L101" s="174"/>
      <c r="M101" s="93"/>
      <c r="N101" s="174"/>
      <c r="O101" s="93"/>
      <c r="P101" s="65"/>
      <c r="Q101" s="198"/>
      <c r="R101" s="198"/>
      <c r="S101" s="580"/>
      <c r="T101" s="580"/>
      <c r="U101" s="580"/>
      <c r="V101" s="641"/>
      <c r="W101" s="580"/>
    </row>
    <row r="102" spans="1:23" ht="21.75" customHeight="1" thickBot="1">
      <c r="A102" s="701" t="s">
        <v>5</v>
      </c>
      <c r="B102" s="702"/>
      <c r="C102" s="702"/>
      <c r="D102" s="702"/>
      <c r="E102" s="702"/>
      <c r="F102" s="324">
        <f>ROUND(SUM(F93:F100),0)</f>
        <v>0</v>
      </c>
      <c r="G102" s="138"/>
      <c r="I102" s="198"/>
      <c r="J102" s="198"/>
      <c r="K102" s="576"/>
      <c r="L102" s="576"/>
      <c r="M102" s="580"/>
      <c r="N102" s="581"/>
      <c r="O102" s="580"/>
      <c r="Q102" s="93"/>
      <c r="R102" s="642"/>
      <c r="S102" s="643"/>
      <c r="T102" s="644"/>
      <c r="U102" s="200"/>
      <c r="V102" s="643"/>
      <c r="W102" s="199"/>
    </row>
    <row r="103" spans="1:23" ht="21" customHeight="1">
      <c r="A103" s="32"/>
      <c r="B103" s="24"/>
      <c r="C103" s="32"/>
      <c r="D103" s="32"/>
      <c r="E103" s="32"/>
      <c r="F103" s="32"/>
      <c r="G103" s="138"/>
      <c r="I103" s="190"/>
      <c r="J103" s="539"/>
      <c r="K103" s="198"/>
      <c r="L103" s="576"/>
      <c r="M103" s="580"/>
      <c r="N103" s="576"/>
      <c r="O103" s="582"/>
      <c r="Q103" s="93"/>
      <c r="R103" s="645"/>
      <c r="S103" s="646"/>
      <c r="T103" s="647"/>
      <c r="U103" s="196"/>
      <c r="V103" s="646"/>
      <c r="W103" s="196"/>
    </row>
    <row r="104" spans="1:23" ht="15.75" thickBot="1">
      <c r="A104" s="32"/>
      <c r="B104" s="24"/>
      <c r="C104" s="32"/>
      <c r="D104" s="32"/>
      <c r="E104" s="32"/>
      <c r="F104" s="32"/>
      <c r="G104" s="138"/>
      <c r="I104" s="190"/>
      <c r="J104" s="545"/>
      <c r="K104" s="190"/>
      <c r="L104" s="557"/>
      <c r="M104" s="583"/>
      <c r="N104" s="174"/>
      <c r="O104" s="583"/>
      <c r="Q104" s="93"/>
      <c r="R104" s="645"/>
      <c r="S104" s="646"/>
      <c r="T104" s="647"/>
      <c r="U104" s="196"/>
      <c r="V104" s="646"/>
      <c r="W104" s="196"/>
    </row>
    <row r="105" spans="1:23" ht="27" customHeight="1" thickBot="1">
      <c r="A105" s="309"/>
      <c r="B105" s="700" t="e">
        <f>+#REF!</f>
        <v>#REF!</v>
      </c>
      <c r="C105" s="700"/>
      <c r="D105" s="700"/>
      <c r="E105" s="700"/>
      <c r="F105" s="310" t="s">
        <v>64</v>
      </c>
      <c r="G105" s="138"/>
      <c r="I105" s="190"/>
      <c r="J105" s="545"/>
      <c r="K105" s="584"/>
      <c r="L105" s="557"/>
      <c r="M105" s="583"/>
      <c r="N105" s="174"/>
      <c r="O105" s="583"/>
      <c r="Q105" s="93"/>
      <c r="R105" s="645"/>
      <c r="S105" s="646"/>
      <c r="T105" s="647"/>
      <c r="U105" s="196"/>
      <c r="V105" s="646"/>
      <c r="W105" s="196"/>
    </row>
    <row r="106" spans="1:23" ht="21" customHeight="1">
      <c r="A106" s="338" t="s">
        <v>235</v>
      </c>
      <c r="B106" s="339" t="s">
        <v>7</v>
      </c>
      <c r="C106" s="340" t="s">
        <v>0</v>
      </c>
      <c r="D106" s="340" t="s">
        <v>8</v>
      </c>
      <c r="E106" s="340" t="s">
        <v>2</v>
      </c>
      <c r="F106" s="341" t="s">
        <v>9</v>
      </c>
      <c r="G106" s="138"/>
      <c r="I106" s="190"/>
      <c r="J106" s="545"/>
      <c r="K106" s="584"/>
      <c r="L106" s="174"/>
      <c r="M106" s="583"/>
      <c r="N106" s="174"/>
      <c r="O106" s="583"/>
      <c r="Q106" s="539"/>
      <c r="R106" s="539"/>
      <c r="S106" s="539"/>
      <c r="T106" s="539"/>
      <c r="U106" s="539"/>
      <c r="V106" s="539"/>
      <c r="W106" s="200"/>
    </row>
    <row r="107" spans="1:23" ht="30.75">
      <c r="A107" s="315"/>
      <c r="B107" s="316" t="s">
        <v>53</v>
      </c>
      <c r="C107" s="325" t="s">
        <v>32</v>
      </c>
      <c r="D107" s="326">
        <f>(2.5*2+1.5*2)*2</f>
        <v>16</v>
      </c>
      <c r="E107" s="319"/>
      <c r="F107" s="320"/>
      <c r="G107" s="138"/>
      <c r="I107" s="539"/>
      <c r="J107" s="539"/>
      <c r="K107" s="198"/>
      <c r="L107" s="198"/>
      <c r="M107" s="539"/>
      <c r="N107" s="198"/>
      <c r="O107" s="200"/>
      <c r="Q107" s="93"/>
      <c r="R107" s="93"/>
      <c r="S107" s="93"/>
      <c r="T107" s="93"/>
      <c r="U107" s="93"/>
      <c r="V107" s="93"/>
      <c r="W107" s="93"/>
    </row>
    <row r="108" spans="1:23" ht="30">
      <c r="A108" s="342"/>
      <c r="B108" s="343" t="s">
        <v>86</v>
      </c>
      <c r="C108" s="327" t="s">
        <v>3</v>
      </c>
      <c r="D108" s="331">
        <v>1</v>
      </c>
      <c r="E108" s="319"/>
      <c r="F108" s="320"/>
      <c r="G108" s="138"/>
      <c r="I108" s="539"/>
      <c r="J108" s="539"/>
      <c r="K108" s="198"/>
      <c r="L108" s="198"/>
      <c r="M108" s="539"/>
      <c r="N108" s="198"/>
      <c r="O108" s="200"/>
      <c r="Q108" s="93"/>
      <c r="R108" s="93"/>
      <c r="S108" s="93"/>
      <c r="T108" s="93"/>
      <c r="U108" s="93"/>
      <c r="V108" s="93"/>
      <c r="W108" s="93"/>
    </row>
    <row r="109" spans="1:23" ht="15.75" thickBot="1">
      <c r="A109" s="273"/>
      <c r="B109" s="274"/>
      <c r="C109" s="273"/>
      <c r="D109" s="273"/>
      <c r="E109" s="273"/>
      <c r="F109" s="273"/>
      <c r="G109" s="138"/>
      <c r="I109" s="190"/>
      <c r="J109" s="190"/>
      <c r="K109" s="174"/>
      <c r="L109" s="174"/>
      <c r="M109" s="93"/>
      <c r="N109" s="174"/>
      <c r="O109" s="93"/>
      <c r="Q109" s="93"/>
      <c r="R109" s="93"/>
      <c r="S109" s="93"/>
      <c r="T109" s="93"/>
      <c r="U109" s="93"/>
      <c r="V109" s="93"/>
      <c r="W109" s="93"/>
    </row>
    <row r="110" spans="1:23" ht="16.5" thickBot="1">
      <c r="A110" s="701" t="s">
        <v>5</v>
      </c>
      <c r="B110" s="702"/>
      <c r="C110" s="702"/>
      <c r="D110" s="702"/>
      <c r="E110" s="702"/>
      <c r="F110" s="324">
        <f>ROUND(SUM(F107:F108),0)</f>
        <v>0</v>
      </c>
      <c r="G110" s="138"/>
      <c r="I110" s="539"/>
      <c r="J110" s="539"/>
      <c r="K110" s="198"/>
      <c r="L110" s="198"/>
      <c r="M110" s="539"/>
      <c r="N110" s="231"/>
      <c r="O110" s="198"/>
      <c r="Q110" s="93"/>
      <c r="R110" s="93"/>
      <c r="S110" s="93"/>
      <c r="T110" s="93"/>
      <c r="U110" s="93"/>
      <c r="V110" s="93"/>
      <c r="W110" s="93"/>
    </row>
    <row r="111" spans="1:23" ht="15.75">
      <c r="G111" s="138"/>
      <c r="I111" s="190"/>
      <c r="J111" s="227"/>
      <c r="K111" s="228"/>
      <c r="L111" s="293"/>
      <c r="M111" s="542"/>
      <c r="N111" s="543"/>
      <c r="O111" s="585"/>
      <c r="Q111" s="93"/>
      <c r="R111" s="93"/>
      <c r="S111" s="93"/>
      <c r="T111" s="93"/>
      <c r="U111" s="93"/>
      <c r="V111" s="93"/>
      <c r="W111" s="93"/>
    </row>
    <row r="112" spans="1:23" ht="15.75" thickBot="1">
      <c r="G112" s="138"/>
      <c r="I112" s="190"/>
      <c r="J112" s="573"/>
      <c r="K112" s="546"/>
      <c r="L112" s="547"/>
      <c r="M112" s="548"/>
      <c r="N112" s="551"/>
      <c r="O112" s="550"/>
      <c r="Q112" s="93"/>
      <c r="R112" s="93"/>
      <c r="S112" s="93"/>
      <c r="T112" s="93"/>
      <c r="U112" s="93"/>
      <c r="V112" s="93"/>
      <c r="W112" s="93"/>
    </row>
    <row r="113" spans="1:23" ht="16.5" thickBot="1">
      <c r="A113" s="309"/>
      <c r="B113" s="726" t="s">
        <v>217</v>
      </c>
      <c r="C113" s="727"/>
      <c r="D113" s="727"/>
      <c r="E113" s="728"/>
      <c r="F113" s="310" t="s">
        <v>211</v>
      </c>
      <c r="G113" s="138"/>
      <c r="I113" s="190"/>
      <c r="J113" s="573"/>
      <c r="K113" s="546"/>
      <c r="L113" s="547"/>
      <c r="M113" s="548"/>
      <c r="N113" s="551"/>
      <c r="O113" s="550"/>
      <c r="Q113" s="93"/>
      <c r="R113" s="93"/>
      <c r="S113" s="93"/>
      <c r="T113" s="93"/>
      <c r="U113" s="93"/>
      <c r="V113" s="93"/>
      <c r="W113" s="93"/>
    </row>
    <row r="114" spans="1:23" ht="32.25" customHeight="1" thickBot="1">
      <c r="A114" s="344" t="s">
        <v>236</v>
      </c>
      <c r="B114" s="345" t="s">
        <v>7</v>
      </c>
      <c r="C114" s="346" t="s">
        <v>0</v>
      </c>
      <c r="D114" s="346" t="s">
        <v>8</v>
      </c>
      <c r="E114" s="346" t="s">
        <v>2</v>
      </c>
      <c r="F114" s="347" t="s">
        <v>9</v>
      </c>
      <c r="G114" s="138"/>
      <c r="I114" s="190"/>
      <c r="J114" s="573"/>
      <c r="K114" s="546"/>
      <c r="L114" s="547"/>
      <c r="M114" s="548"/>
      <c r="N114" s="551"/>
      <c r="O114" s="550"/>
      <c r="Q114" s="93"/>
      <c r="R114" s="93"/>
      <c r="S114" s="93"/>
      <c r="T114" s="93"/>
      <c r="U114" s="93"/>
      <c r="V114" s="93"/>
      <c r="W114" s="93"/>
    </row>
    <row r="115" spans="1:23" ht="15.75">
      <c r="A115" s="348"/>
      <c r="B115" s="349" t="s">
        <v>31</v>
      </c>
      <c r="C115" s="350" t="s">
        <v>32</v>
      </c>
      <c r="D115" s="351">
        <v>1.3</v>
      </c>
      <c r="E115" s="352"/>
      <c r="F115" s="353"/>
      <c r="G115" s="138"/>
      <c r="I115" s="539"/>
      <c r="J115" s="539"/>
      <c r="K115" s="198"/>
      <c r="L115" s="198"/>
      <c r="M115" s="539"/>
      <c r="N115" s="198"/>
      <c r="O115" s="200"/>
      <c r="Q115" s="93"/>
      <c r="R115" s="93"/>
      <c r="S115" s="93"/>
      <c r="T115" s="93"/>
      <c r="U115" s="93"/>
      <c r="V115" s="93"/>
      <c r="W115" s="93"/>
    </row>
    <row r="116" spans="1:23" ht="16.5" customHeight="1">
      <c r="A116" s="348"/>
      <c r="B116" s="354" t="s">
        <v>53</v>
      </c>
      <c r="C116" s="325" t="s">
        <v>32</v>
      </c>
      <c r="D116" s="326">
        <v>2.5</v>
      </c>
      <c r="E116" s="319"/>
      <c r="F116" s="320"/>
      <c r="G116" s="138"/>
      <c r="I116" s="190"/>
      <c r="J116" s="190"/>
      <c r="K116" s="174"/>
      <c r="L116" s="174"/>
      <c r="M116" s="93"/>
      <c r="N116" s="174"/>
      <c r="O116" s="93"/>
      <c r="Q116" s="93"/>
      <c r="R116" s="93"/>
      <c r="S116" s="93"/>
      <c r="T116" s="93"/>
      <c r="U116" s="93"/>
      <c r="V116" s="93"/>
      <c r="W116" s="93"/>
    </row>
    <row r="117" spans="1:23" ht="20.25" customHeight="1">
      <c r="A117" s="355"/>
      <c r="B117" s="356" t="s">
        <v>33</v>
      </c>
      <c r="C117" s="317" t="s">
        <v>27</v>
      </c>
      <c r="D117" s="351">
        <v>0.2</v>
      </c>
      <c r="E117" s="319"/>
      <c r="F117" s="320"/>
      <c r="G117" s="138"/>
      <c r="I117" s="539"/>
      <c r="J117" s="539"/>
      <c r="K117" s="198"/>
      <c r="L117" s="198"/>
      <c r="M117" s="539"/>
      <c r="N117" s="564"/>
      <c r="O117" s="198"/>
      <c r="Q117" s="539"/>
      <c r="R117" s="539"/>
      <c r="S117" s="539"/>
      <c r="T117" s="539"/>
      <c r="U117" s="539"/>
      <c r="V117" s="504"/>
      <c r="W117" s="198"/>
    </row>
    <row r="118" spans="1:23" ht="21.95" customHeight="1">
      <c r="A118" s="355"/>
      <c r="B118" s="357" t="s">
        <v>65</v>
      </c>
      <c r="C118" s="317" t="s">
        <v>32</v>
      </c>
      <c r="D118" s="326">
        <v>2.2000000000000002</v>
      </c>
      <c r="E118" s="319"/>
      <c r="F118" s="320"/>
      <c r="G118" s="138"/>
      <c r="I118" s="242"/>
      <c r="J118" s="586"/>
      <c r="K118" s="587"/>
      <c r="L118" s="588"/>
      <c r="M118" s="589"/>
      <c r="N118" s="590"/>
      <c r="O118" s="304"/>
      <c r="Q118" s="242"/>
      <c r="R118" s="586"/>
      <c r="S118" s="587"/>
      <c r="T118" s="588"/>
      <c r="U118" s="589"/>
      <c r="V118" s="648"/>
      <c r="W118" s="304"/>
    </row>
    <row r="119" spans="1:23" ht="21.6" customHeight="1">
      <c r="A119" s="358"/>
      <c r="B119" s="357" t="s">
        <v>66</v>
      </c>
      <c r="C119" s="350" t="s">
        <v>3</v>
      </c>
      <c r="D119" s="326">
        <f>1*1.2</f>
        <v>1.2</v>
      </c>
      <c r="E119" s="319"/>
      <c r="F119" s="320"/>
      <c r="G119" s="138"/>
      <c r="I119" s="242"/>
      <c r="J119" s="591"/>
      <c r="K119" s="584"/>
      <c r="L119" s="592"/>
      <c r="M119" s="593"/>
      <c r="N119" s="594"/>
      <c r="O119" s="105"/>
      <c r="Q119" s="242"/>
      <c r="R119" s="591"/>
      <c r="S119" s="584"/>
      <c r="T119" s="592"/>
      <c r="U119" s="593"/>
      <c r="V119" s="594"/>
      <c r="W119" s="105"/>
    </row>
    <row r="120" spans="1:23">
      <c r="A120" s="358"/>
      <c r="B120" s="316" t="s">
        <v>56</v>
      </c>
      <c r="C120" s="317" t="s">
        <v>4</v>
      </c>
      <c r="D120" s="359">
        <f>+D119*0.12*1.1</f>
        <v>0.15840000000000001</v>
      </c>
      <c r="E120" s="319"/>
      <c r="F120" s="320"/>
      <c r="G120" s="138"/>
      <c r="I120" s="242"/>
      <c r="J120" s="595"/>
      <c r="K120" s="584"/>
      <c r="L120" s="592"/>
      <c r="M120" s="593"/>
      <c r="N120" s="594"/>
      <c r="O120" s="105"/>
      <c r="Q120" s="242"/>
      <c r="R120" s="595"/>
      <c r="S120" s="584"/>
      <c r="T120" s="592"/>
      <c r="U120" s="593"/>
      <c r="V120" s="594"/>
      <c r="W120" s="105"/>
    </row>
    <row r="121" spans="1:23">
      <c r="A121" s="358"/>
      <c r="B121" s="316" t="s">
        <v>35</v>
      </c>
      <c r="C121" s="317" t="s">
        <v>4</v>
      </c>
      <c r="D121" s="359">
        <f>+D120</f>
        <v>0.15840000000000001</v>
      </c>
      <c r="E121" s="319"/>
      <c r="F121" s="320"/>
      <c r="G121" s="138"/>
      <c r="I121" s="242"/>
      <c r="J121" s="595"/>
      <c r="K121" s="584"/>
      <c r="L121" s="592"/>
      <c r="M121" s="593"/>
      <c r="N121" s="594"/>
      <c r="O121" s="105"/>
      <c r="Q121" s="242"/>
      <c r="R121" s="595"/>
      <c r="S121" s="584"/>
      <c r="T121" s="592"/>
      <c r="U121" s="593"/>
      <c r="V121" s="594"/>
      <c r="W121" s="105"/>
    </row>
    <row r="122" spans="1:23" ht="30">
      <c r="A122" s="358"/>
      <c r="B122" s="316" t="s">
        <v>68</v>
      </c>
      <c r="C122" s="360" t="s">
        <v>3</v>
      </c>
      <c r="D122" s="361">
        <v>1.3</v>
      </c>
      <c r="E122" s="329"/>
      <c r="F122" s="320"/>
      <c r="G122" s="138"/>
      <c r="I122" s="242"/>
      <c r="J122" s="595"/>
      <c r="K122" s="584"/>
      <c r="L122" s="592"/>
      <c r="M122" s="593"/>
      <c r="N122" s="594"/>
      <c r="O122" s="105"/>
      <c r="P122" s="93"/>
      <c r="Q122" s="242"/>
      <c r="R122" s="595"/>
      <c r="S122" s="584"/>
      <c r="T122" s="592"/>
      <c r="U122" s="593"/>
      <c r="V122" s="594"/>
      <c r="W122" s="105"/>
    </row>
    <row r="123" spans="1:23">
      <c r="A123" s="358"/>
      <c r="B123" s="332"/>
      <c r="C123" s="360"/>
      <c r="D123" s="361"/>
      <c r="E123" s="329"/>
      <c r="F123" s="320"/>
      <c r="G123" s="138"/>
      <c r="I123" s="242"/>
      <c r="J123" s="595"/>
      <c r="K123" s="584"/>
      <c r="L123" s="592"/>
      <c r="M123" s="593"/>
      <c r="N123" s="594"/>
      <c r="O123" s="105"/>
      <c r="Q123" s="242"/>
      <c r="R123" s="595"/>
      <c r="S123" s="584"/>
      <c r="T123" s="592"/>
      <c r="U123" s="593"/>
      <c r="V123" s="594"/>
      <c r="W123" s="105"/>
    </row>
    <row r="124" spans="1:23">
      <c r="A124" s="358"/>
      <c r="B124" s="332" t="s">
        <v>36</v>
      </c>
      <c r="C124" s="317" t="s">
        <v>3</v>
      </c>
      <c r="D124" s="359">
        <v>1.2</v>
      </c>
      <c r="E124" s="319"/>
      <c r="F124" s="320"/>
      <c r="G124" s="288"/>
      <c r="I124" s="242"/>
      <c r="J124" s="595"/>
      <c r="K124" s="584"/>
      <c r="L124" s="592"/>
      <c r="M124" s="593"/>
      <c r="N124" s="594"/>
      <c r="O124" s="105"/>
      <c r="Q124" s="242"/>
      <c r="R124" s="595"/>
      <c r="S124" s="584"/>
      <c r="T124" s="592"/>
      <c r="U124" s="593"/>
      <c r="V124" s="594"/>
      <c r="W124" s="105"/>
    </row>
    <row r="125" spans="1:23" ht="28.5" customHeight="1" thickBot="1">
      <c r="A125" s="362"/>
      <c r="B125" s="363" t="s">
        <v>58</v>
      </c>
      <c r="C125" s="364" t="s">
        <v>4</v>
      </c>
      <c r="D125" s="365">
        <f>1.2*0.12*1.1</f>
        <v>0.15840000000000001</v>
      </c>
      <c r="E125" s="366"/>
      <c r="F125" s="367"/>
      <c r="G125" s="288"/>
      <c r="I125" s="242"/>
      <c r="J125" s="595"/>
      <c r="K125" s="584"/>
      <c r="L125" s="592"/>
      <c r="M125" s="593"/>
      <c r="N125" s="594"/>
      <c r="O125" s="105"/>
      <c r="Q125" s="242"/>
      <c r="R125" s="595"/>
      <c r="S125" s="584"/>
      <c r="T125" s="592"/>
      <c r="U125" s="593"/>
      <c r="V125" s="594"/>
      <c r="W125" s="105"/>
    </row>
    <row r="126" spans="1:23" ht="21.95" customHeight="1" thickBot="1">
      <c r="A126" s="368"/>
      <c r="B126" s="369"/>
      <c r="C126" s="370"/>
      <c r="D126" s="370"/>
      <c r="E126" s="370"/>
      <c r="F126" s="371"/>
      <c r="G126" s="288"/>
      <c r="H126" s="63"/>
      <c r="I126" s="242"/>
      <c r="J126" s="595"/>
      <c r="K126" s="584"/>
      <c r="L126" s="592"/>
      <c r="M126" s="593"/>
      <c r="N126" s="594"/>
      <c r="O126" s="105"/>
      <c r="P126" s="93"/>
      <c r="Q126" s="242"/>
      <c r="R126" s="595"/>
      <c r="S126" s="584"/>
      <c r="T126" s="592"/>
      <c r="U126" s="593"/>
      <c r="V126" s="594"/>
      <c r="W126" s="105"/>
    </row>
    <row r="127" spans="1:23" s="173" customFormat="1" ht="23.45" customHeight="1" thickBot="1">
      <c r="A127" s="734" t="s">
        <v>5</v>
      </c>
      <c r="B127" s="735"/>
      <c r="C127" s="735"/>
      <c r="D127" s="735"/>
      <c r="E127" s="736"/>
      <c r="F127" s="324">
        <f>ROUND(SUM(F115:F125),0)</f>
        <v>0</v>
      </c>
      <c r="G127" s="138"/>
      <c r="H127" s="63"/>
      <c r="I127" s="276"/>
      <c r="J127" s="596"/>
      <c r="K127" s="597"/>
      <c r="L127" s="570"/>
      <c r="M127" s="598"/>
      <c r="N127" s="599"/>
      <c r="O127" s="572"/>
      <c r="P127" s="94"/>
      <c r="Q127" s="276"/>
      <c r="R127" s="596"/>
      <c r="S127" s="597"/>
      <c r="T127" s="570"/>
      <c r="U127" s="598"/>
      <c r="V127" s="599"/>
      <c r="W127" s="572"/>
    </row>
    <row r="128" spans="1:23" ht="16.5" customHeight="1" thickBot="1">
      <c r="A128" s="292"/>
      <c r="B128" s="292"/>
      <c r="C128" s="292"/>
      <c r="D128" s="292"/>
      <c r="E128" s="292"/>
      <c r="F128" s="197"/>
      <c r="G128" s="138"/>
      <c r="H128" s="63"/>
      <c r="I128" s="539"/>
      <c r="J128" s="539"/>
      <c r="K128" s="198"/>
      <c r="L128" s="198"/>
      <c r="M128" s="539"/>
      <c r="N128" s="198"/>
      <c r="O128" s="200"/>
      <c r="P128" s="91"/>
      <c r="Q128" s="539"/>
      <c r="R128" s="539"/>
      <c r="S128" s="539"/>
      <c r="T128" s="198"/>
      <c r="U128" s="539"/>
      <c r="V128" s="539"/>
      <c r="W128" s="200"/>
    </row>
    <row r="129" spans="1:26" ht="15.75">
      <c r="A129" s="709"/>
      <c r="B129" s="717" t="s">
        <v>202</v>
      </c>
      <c r="C129" s="718"/>
      <c r="D129" s="718"/>
      <c r="E129" s="719"/>
      <c r="F129" s="705" t="s">
        <v>211</v>
      </c>
      <c r="G129" s="706"/>
      <c r="I129" s="190"/>
      <c r="J129" s="190"/>
      <c r="K129" s="174"/>
      <c r="L129" s="174"/>
      <c r="M129" s="93"/>
      <c r="N129" s="174"/>
      <c r="O129" s="93"/>
      <c r="P129" s="95"/>
      <c r="Q129" s="93"/>
      <c r="R129" s="93"/>
      <c r="S129" s="93"/>
      <c r="T129" s="93"/>
      <c r="U129" s="93"/>
      <c r="V129" s="93"/>
      <c r="W129" s="93"/>
    </row>
    <row r="130" spans="1:26" ht="16.5" thickBot="1">
      <c r="A130" s="710"/>
      <c r="B130" s="720"/>
      <c r="C130" s="721"/>
      <c r="D130" s="721"/>
      <c r="E130" s="722"/>
      <c r="F130" s="707"/>
      <c r="G130" s="708"/>
      <c r="I130" s="539"/>
      <c r="J130" s="539"/>
      <c r="K130" s="198"/>
      <c r="L130" s="198"/>
      <c r="M130" s="539"/>
      <c r="N130" s="564"/>
      <c r="O130" s="198"/>
      <c r="P130" s="95"/>
      <c r="Q130" s="539"/>
      <c r="R130" s="539"/>
      <c r="S130" s="539"/>
      <c r="T130" s="539"/>
      <c r="U130" s="539"/>
      <c r="V130" s="504"/>
      <c r="W130" s="198"/>
    </row>
    <row r="131" spans="1:26" s="48" customFormat="1" ht="16.5" thickBot="1">
      <c r="A131" s="344" t="s">
        <v>237</v>
      </c>
      <c r="B131" s="346" t="s">
        <v>7</v>
      </c>
      <c r="C131" s="346" t="s">
        <v>0</v>
      </c>
      <c r="D131" s="346" t="s">
        <v>8</v>
      </c>
      <c r="E131" s="346" t="s">
        <v>2</v>
      </c>
      <c r="F131" s="372" t="s">
        <v>201</v>
      </c>
      <c r="G131" s="373" t="s">
        <v>9</v>
      </c>
      <c r="H131" s="198"/>
      <c r="I131" s="600"/>
      <c r="J131" s="601"/>
      <c r="K131" s="228"/>
      <c r="L131" s="602"/>
      <c r="M131" s="603"/>
      <c r="N131" s="228"/>
      <c r="O131" s="604"/>
      <c r="P131" s="95"/>
      <c r="Q131" s="242"/>
      <c r="R131" s="586"/>
      <c r="S131" s="587"/>
      <c r="T131" s="588"/>
      <c r="U131" s="589"/>
      <c r="V131" s="648"/>
      <c r="W131" s="304"/>
      <c r="X131" s="55"/>
      <c r="Y131" s="55"/>
      <c r="Z131" s="55"/>
    </row>
    <row r="132" spans="1:26" s="48" customFormat="1" ht="30" customHeight="1">
      <c r="A132" s="374"/>
      <c r="B132" s="375" t="s">
        <v>212</v>
      </c>
      <c r="C132" s="376" t="s">
        <v>11</v>
      </c>
      <c r="D132" s="377">
        <v>1</v>
      </c>
      <c r="E132" s="378"/>
      <c r="F132" s="379"/>
      <c r="G132" s="380"/>
      <c r="H132" s="199"/>
      <c r="I132" s="605"/>
      <c r="J132" s="545"/>
      <c r="K132" s="546"/>
      <c r="L132" s="570"/>
      <c r="M132" s="571"/>
      <c r="N132" s="546"/>
      <c r="O132" s="572"/>
      <c r="P132" s="95"/>
      <c r="Q132" s="242"/>
      <c r="R132" s="591"/>
      <c r="S132" s="584"/>
      <c r="T132" s="592"/>
      <c r="U132" s="593"/>
      <c r="V132" s="594"/>
      <c r="W132" s="105"/>
      <c r="X132" s="55"/>
      <c r="Y132" s="55"/>
      <c r="Z132" s="55"/>
    </row>
    <row r="133" spans="1:26" ht="22.5" customHeight="1">
      <c r="A133" s="374"/>
      <c r="B133" s="375" t="s">
        <v>13</v>
      </c>
      <c r="C133" s="376" t="s">
        <v>12</v>
      </c>
      <c r="D133" s="377">
        <v>0.1</v>
      </c>
      <c r="E133" s="378"/>
      <c r="F133" s="381"/>
      <c r="G133" s="380"/>
      <c r="H133" s="196"/>
      <c r="I133" s="605"/>
      <c r="J133" s="545"/>
      <c r="K133" s="546"/>
      <c r="L133" s="570"/>
      <c r="M133" s="571"/>
      <c r="N133" s="546"/>
      <c r="O133" s="572"/>
      <c r="P133" s="95"/>
      <c r="Q133" s="242"/>
      <c r="R133" s="595"/>
      <c r="S133" s="584"/>
      <c r="T133" s="592"/>
      <c r="U133" s="593"/>
      <c r="V133" s="594"/>
      <c r="W133" s="105"/>
    </row>
    <row r="134" spans="1:26" s="48" customFormat="1" ht="19.5" customHeight="1" thickBot="1">
      <c r="A134" s="382"/>
      <c r="B134" s="383" t="s">
        <v>19</v>
      </c>
      <c r="C134" s="384" t="s">
        <v>12</v>
      </c>
      <c r="D134" s="385">
        <v>0.05</v>
      </c>
      <c r="E134" s="386"/>
      <c r="F134" s="387"/>
      <c r="G134" s="388"/>
      <c r="H134" s="196"/>
      <c r="I134" s="600"/>
      <c r="J134" s="545"/>
      <c r="K134" s="546"/>
      <c r="L134" s="570"/>
      <c r="M134" s="571"/>
      <c r="N134" s="546"/>
      <c r="O134" s="572"/>
      <c r="P134" s="95"/>
      <c r="Q134" s="242"/>
      <c r="R134" s="595"/>
      <c r="S134" s="584"/>
      <c r="T134" s="592"/>
      <c r="U134" s="593"/>
      <c r="V134" s="594"/>
      <c r="W134" s="105"/>
      <c r="X134" s="55"/>
      <c r="Y134" s="55"/>
      <c r="Z134" s="55"/>
    </row>
    <row r="135" spans="1:26" ht="19.5" customHeight="1" thickBot="1">
      <c r="A135" s="297" t="s">
        <v>5</v>
      </c>
      <c r="B135" s="298"/>
      <c r="C135" s="298"/>
      <c r="D135" s="298"/>
      <c r="E135" s="298"/>
      <c r="F135" s="389"/>
      <c r="G135" s="390">
        <f>+ROUND(SUM(G132:G134),0)</f>
        <v>0</v>
      </c>
      <c r="H135" s="196"/>
      <c r="I135" s="605"/>
      <c r="J135" s="545"/>
      <c r="K135" s="546"/>
      <c r="L135" s="570"/>
      <c r="M135" s="571"/>
      <c r="N135" s="546"/>
      <c r="O135" s="572"/>
      <c r="P135" s="95"/>
      <c r="Q135" s="242"/>
      <c r="R135" s="595"/>
      <c r="S135" s="584"/>
      <c r="T135" s="592"/>
      <c r="U135" s="593"/>
      <c r="V135" s="594"/>
      <c r="W135" s="105"/>
    </row>
    <row r="136" spans="1:26" ht="17.25" customHeight="1" thickBot="1">
      <c r="A136" s="292"/>
      <c r="B136" s="292"/>
      <c r="C136" s="292"/>
      <c r="D136" s="292"/>
      <c r="E136" s="292"/>
      <c r="F136" s="197"/>
      <c r="G136" s="138"/>
      <c r="H136" s="200"/>
      <c r="I136" s="605"/>
      <c r="J136" s="545"/>
      <c r="K136" s="546"/>
      <c r="L136" s="570"/>
      <c r="M136" s="571"/>
      <c r="N136" s="606"/>
      <c r="O136" s="572"/>
      <c r="P136" s="95"/>
      <c r="Q136" s="242"/>
      <c r="R136" s="595"/>
      <c r="S136" s="584"/>
      <c r="T136" s="592"/>
      <c r="U136" s="593"/>
      <c r="V136" s="594"/>
      <c r="W136" s="105"/>
    </row>
    <row r="137" spans="1:26" ht="17.25" customHeight="1">
      <c r="A137" s="709"/>
      <c r="B137" s="711" t="s">
        <v>203</v>
      </c>
      <c r="C137" s="712"/>
      <c r="D137" s="712"/>
      <c r="E137" s="713"/>
      <c r="F137" s="705" t="s">
        <v>211</v>
      </c>
      <c r="G137" s="706"/>
      <c r="H137" s="138"/>
      <c r="I137" s="600"/>
      <c r="J137" s="545"/>
      <c r="K137" s="546"/>
      <c r="L137" s="570"/>
      <c r="M137" s="571"/>
      <c r="N137" s="546"/>
      <c r="O137" s="572"/>
      <c r="P137" s="95"/>
      <c r="Q137" s="242"/>
      <c r="R137" s="595"/>
      <c r="S137" s="584"/>
      <c r="T137" s="592"/>
      <c r="U137" s="593"/>
      <c r="V137" s="594"/>
      <c r="W137" s="105"/>
    </row>
    <row r="138" spans="1:26" ht="18" customHeight="1" thickBot="1">
      <c r="A138" s="710"/>
      <c r="B138" s="714"/>
      <c r="C138" s="715"/>
      <c r="D138" s="715"/>
      <c r="E138" s="716"/>
      <c r="F138" s="707"/>
      <c r="G138" s="708"/>
      <c r="H138" s="138"/>
      <c r="I138" s="605"/>
      <c r="J138" s="545"/>
      <c r="K138" s="546"/>
      <c r="L138" s="570"/>
      <c r="M138" s="571"/>
      <c r="N138" s="546"/>
      <c r="O138" s="572"/>
      <c r="P138" s="95"/>
      <c r="Q138" s="242"/>
      <c r="R138" s="595"/>
      <c r="S138" s="584"/>
      <c r="T138" s="592"/>
      <c r="U138" s="593"/>
      <c r="V138" s="594"/>
      <c r="W138" s="105"/>
    </row>
    <row r="139" spans="1:26" ht="27.75" customHeight="1" thickBot="1">
      <c r="A139" s="344" t="s">
        <v>238</v>
      </c>
      <c r="B139" s="346" t="s">
        <v>7</v>
      </c>
      <c r="C139" s="346" t="s">
        <v>0</v>
      </c>
      <c r="D139" s="346" t="s">
        <v>8</v>
      </c>
      <c r="E139" s="346" t="s">
        <v>2</v>
      </c>
      <c r="F139" s="372" t="s">
        <v>201</v>
      </c>
      <c r="G139" s="373" t="s">
        <v>9</v>
      </c>
      <c r="H139" s="138"/>
      <c r="I139" s="605"/>
      <c r="J139" s="545"/>
      <c r="K139" s="546"/>
      <c r="L139" s="570"/>
      <c r="M139" s="571"/>
      <c r="N139" s="246"/>
      <c r="O139" s="572"/>
      <c r="P139" s="93"/>
      <c r="Q139" s="242"/>
      <c r="R139" s="595"/>
      <c r="S139" s="584"/>
      <c r="T139" s="592"/>
      <c r="U139" s="593"/>
      <c r="V139" s="594"/>
      <c r="W139" s="105"/>
    </row>
    <row r="140" spans="1:26" ht="19.5" customHeight="1">
      <c r="A140" s="391"/>
      <c r="B140" s="375" t="s">
        <v>20</v>
      </c>
      <c r="C140" s="376" t="s">
        <v>24</v>
      </c>
      <c r="D140" s="392">
        <v>0.06</v>
      </c>
      <c r="E140" s="393"/>
      <c r="F140" s="376"/>
      <c r="G140" s="394"/>
      <c r="H140" s="138"/>
      <c r="I140" s="539"/>
      <c r="J140" s="539"/>
      <c r="K140" s="198"/>
      <c r="L140" s="198"/>
      <c r="M140" s="539"/>
      <c r="N140" s="198"/>
      <c r="O140" s="200"/>
      <c r="P140" s="93"/>
      <c r="Q140" s="276"/>
      <c r="R140" s="596"/>
      <c r="S140" s="597"/>
      <c r="T140" s="570"/>
      <c r="U140" s="598"/>
      <c r="V140" s="599"/>
      <c r="W140" s="572"/>
      <c r="X140" s="48"/>
      <c r="Y140" s="48"/>
      <c r="Z140" s="48"/>
    </row>
    <row r="141" spans="1:26" ht="18" customHeight="1">
      <c r="A141" s="391"/>
      <c r="B141" s="375" t="s">
        <v>25</v>
      </c>
      <c r="C141" s="376" t="s">
        <v>21</v>
      </c>
      <c r="D141" s="392">
        <v>10</v>
      </c>
      <c r="E141" s="393"/>
      <c r="F141" s="376"/>
      <c r="G141" s="394"/>
      <c r="H141" s="138"/>
      <c r="I141" s="190"/>
      <c r="J141" s="190"/>
      <c r="K141" s="174"/>
      <c r="L141" s="174"/>
      <c r="M141" s="93"/>
      <c r="N141" s="174"/>
      <c r="O141" s="93"/>
      <c r="P141" s="93"/>
      <c r="Q141" s="539"/>
      <c r="R141" s="539"/>
      <c r="S141" s="539"/>
      <c r="T141" s="198"/>
      <c r="U141" s="539"/>
      <c r="V141" s="539"/>
      <c r="W141" s="200"/>
      <c r="X141" s="48"/>
      <c r="Y141" s="48"/>
      <c r="Z141" s="48"/>
    </row>
    <row r="142" spans="1:26" ht="17.25" customHeight="1">
      <c r="A142" s="391"/>
      <c r="B142" s="375" t="s">
        <v>213</v>
      </c>
      <c r="C142" s="376" t="s">
        <v>11</v>
      </c>
      <c r="D142" s="392">
        <v>1</v>
      </c>
      <c r="E142" s="393"/>
      <c r="F142" s="376"/>
      <c r="G142" s="394"/>
      <c r="H142" s="138"/>
      <c r="I142" s="539"/>
      <c r="J142" s="539"/>
      <c r="K142" s="198"/>
      <c r="L142" s="198"/>
      <c r="M142" s="539"/>
      <c r="N142" s="564"/>
      <c r="O142" s="198"/>
      <c r="P142" s="93"/>
    </row>
    <row r="143" spans="1:26" ht="24.6" customHeight="1">
      <c r="A143" s="391"/>
      <c r="B143" s="375" t="s">
        <v>14</v>
      </c>
      <c r="C143" s="376" t="s">
        <v>11</v>
      </c>
      <c r="D143" s="392">
        <v>1</v>
      </c>
      <c r="E143" s="393"/>
      <c r="F143" s="376"/>
      <c r="G143" s="394"/>
      <c r="H143" s="138"/>
      <c r="I143" s="190"/>
      <c r="J143" s="565"/>
      <c r="K143" s="228"/>
      <c r="L143" s="293"/>
      <c r="M143" s="607"/>
      <c r="N143" s="295"/>
      <c r="O143" s="200"/>
      <c r="P143" s="93"/>
      <c r="X143" s="48"/>
      <c r="Y143" s="48"/>
      <c r="Z143" s="48"/>
    </row>
    <row r="144" spans="1:26" ht="26.45" customHeight="1" thickBot="1">
      <c r="A144" s="395"/>
      <c r="B144" s="396" t="s">
        <v>19</v>
      </c>
      <c r="C144" s="397" t="s">
        <v>12</v>
      </c>
      <c r="D144" s="385">
        <v>0.1</v>
      </c>
      <c r="E144" s="386"/>
      <c r="F144" s="387"/>
      <c r="G144" s="394"/>
      <c r="H144" s="138"/>
      <c r="I144" s="190"/>
      <c r="J144" s="252"/>
      <c r="K144" s="546"/>
      <c r="L144" s="547"/>
      <c r="M144" s="553"/>
      <c r="N144" s="552"/>
      <c r="O144" s="196"/>
      <c r="P144" s="93"/>
    </row>
    <row r="145" spans="1:16" ht="22.5" customHeight="1" thickBot="1">
      <c r="A145" s="297" t="s">
        <v>5</v>
      </c>
      <c r="B145" s="298"/>
      <c r="C145" s="298"/>
      <c r="D145" s="298"/>
      <c r="E145" s="298"/>
      <c r="F145" s="389"/>
      <c r="G145" s="390">
        <f>+ROUND(SUM(G140:G144),0)</f>
        <v>0</v>
      </c>
      <c r="H145" s="138"/>
      <c r="I145" s="190"/>
      <c r="J145" s="545"/>
      <c r="K145" s="546"/>
      <c r="L145" s="547"/>
      <c r="M145" s="553"/>
      <c r="N145" s="552"/>
      <c r="O145" s="196"/>
      <c r="P145" s="93"/>
    </row>
    <row r="146" spans="1:16" ht="17.25" customHeight="1">
      <c r="A146" s="292"/>
      <c r="B146" s="292"/>
      <c r="C146" s="292"/>
      <c r="D146" s="292"/>
      <c r="E146" s="292"/>
      <c r="F146" s="197"/>
      <c r="G146" s="138"/>
      <c r="H146" s="138"/>
      <c r="I146" s="190"/>
      <c r="J146" s="545"/>
      <c r="K146" s="546"/>
      <c r="L146" s="547"/>
      <c r="M146" s="553"/>
      <c r="N146" s="608"/>
      <c r="O146" s="196"/>
    </row>
    <row r="147" spans="1:16" ht="16.5" customHeight="1" thickBot="1">
      <c r="A147" s="48"/>
      <c r="B147" s="48"/>
      <c r="C147" s="48"/>
      <c r="D147" s="48"/>
      <c r="E147" s="48"/>
      <c r="F147" s="48"/>
      <c r="H147" s="138"/>
      <c r="I147" s="190"/>
      <c r="J147" s="545"/>
      <c r="K147" s="546"/>
      <c r="L147" s="547"/>
      <c r="M147" s="553"/>
      <c r="N147" s="552"/>
      <c r="O147" s="196"/>
    </row>
    <row r="148" spans="1:16" ht="33.75" customHeight="1" thickBot="1">
      <c r="A148" s="309"/>
      <c r="B148" s="726" t="s">
        <v>225</v>
      </c>
      <c r="C148" s="727"/>
      <c r="D148" s="727"/>
      <c r="E148" s="728"/>
      <c r="F148" s="310" t="s">
        <v>63</v>
      </c>
      <c r="I148" s="539"/>
      <c r="J148" s="539"/>
      <c r="K148" s="198"/>
      <c r="L148" s="198"/>
      <c r="M148" s="539"/>
      <c r="N148" s="198"/>
      <c r="O148" s="200"/>
    </row>
    <row r="149" spans="1:16" ht="17.25" customHeight="1" thickBot="1">
      <c r="A149" s="311" t="s">
        <v>239</v>
      </c>
      <c r="B149" s="312" t="s">
        <v>7</v>
      </c>
      <c r="C149" s="313" t="s">
        <v>0</v>
      </c>
      <c r="D149" s="313" t="s">
        <v>8</v>
      </c>
      <c r="E149" s="313" t="s">
        <v>2</v>
      </c>
      <c r="F149" s="314" t="s">
        <v>9</v>
      </c>
      <c r="I149" s="190"/>
      <c r="J149" s="190"/>
      <c r="K149" s="174"/>
      <c r="L149" s="174"/>
      <c r="M149" s="93"/>
      <c r="N149" s="174"/>
      <c r="O149" s="93"/>
    </row>
    <row r="150" spans="1:16" ht="24" customHeight="1">
      <c r="A150" s="398"/>
      <c r="B150" s="399" t="s">
        <v>31</v>
      </c>
      <c r="C150" s="400" t="s">
        <v>32</v>
      </c>
      <c r="D150" s="401">
        <v>4</v>
      </c>
      <c r="E150" s="402"/>
      <c r="F150" s="403"/>
      <c r="I150" s="190"/>
      <c r="J150" s="190"/>
      <c r="K150" s="174"/>
      <c r="L150" s="174"/>
      <c r="M150" s="93"/>
      <c r="N150" s="174"/>
      <c r="O150" s="93"/>
    </row>
    <row r="151" spans="1:16" ht="34.5" customHeight="1">
      <c r="A151" s="404"/>
      <c r="B151" s="330" t="s">
        <v>53</v>
      </c>
      <c r="C151" s="327" t="s">
        <v>32</v>
      </c>
      <c r="D151" s="331">
        <v>2</v>
      </c>
      <c r="E151" s="319"/>
      <c r="F151" s="403"/>
      <c r="I151" s="539"/>
      <c r="J151" s="539"/>
      <c r="K151" s="198"/>
      <c r="L151" s="198"/>
      <c r="M151" s="539"/>
      <c r="N151" s="564"/>
      <c r="O151" s="198"/>
    </row>
    <row r="152" spans="1:16" ht="15.75">
      <c r="A152" s="374"/>
      <c r="B152" s="357" t="s">
        <v>65</v>
      </c>
      <c r="C152" s="327" t="s">
        <v>32</v>
      </c>
      <c r="D152" s="331">
        <v>4.2</v>
      </c>
      <c r="E152" s="319"/>
      <c r="F152" s="403"/>
      <c r="I152" s="190"/>
      <c r="J152" s="565"/>
      <c r="K152" s="228"/>
      <c r="L152" s="293"/>
      <c r="M152" s="229"/>
      <c r="N152" s="295"/>
      <c r="O152" s="200"/>
    </row>
    <row r="153" spans="1:16" ht="27.6" customHeight="1">
      <c r="A153" s="404"/>
      <c r="B153" s="357" t="s">
        <v>66</v>
      </c>
      <c r="C153" s="360" t="s">
        <v>3</v>
      </c>
      <c r="D153" s="331">
        <v>1.2</v>
      </c>
      <c r="E153" s="319"/>
      <c r="F153" s="403"/>
      <c r="I153" s="190"/>
      <c r="J153" s="573"/>
      <c r="K153" s="546"/>
      <c r="L153" s="547"/>
      <c r="M153" s="196"/>
      <c r="N153" s="552"/>
      <c r="O153" s="196"/>
    </row>
    <row r="154" spans="1:16" ht="27.6" customHeight="1">
      <c r="A154" s="404"/>
      <c r="B154" s="330" t="s">
        <v>56</v>
      </c>
      <c r="C154" s="327" t="s">
        <v>4</v>
      </c>
      <c r="D154" s="331">
        <f>+D120</f>
        <v>0.15840000000000001</v>
      </c>
      <c r="E154" s="319"/>
      <c r="F154" s="403"/>
      <c r="I154" s="190"/>
      <c r="J154" s="573"/>
      <c r="K154" s="546"/>
      <c r="L154" s="547"/>
      <c r="M154" s="196"/>
      <c r="N154" s="552"/>
      <c r="O154" s="196"/>
    </row>
    <row r="155" spans="1:16" ht="25.5" customHeight="1">
      <c r="A155" s="374"/>
      <c r="B155" s="330" t="s">
        <v>35</v>
      </c>
      <c r="C155" s="327" t="s">
        <v>4</v>
      </c>
      <c r="D155" s="331">
        <f>+D154</f>
        <v>0.15840000000000001</v>
      </c>
      <c r="E155" s="319"/>
      <c r="F155" s="403"/>
      <c r="I155" s="190"/>
      <c r="J155" s="573"/>
      <c r="K155" s="546"/>
      <c r="L155" s="547"/>
      <c r="M155" s="196"/>
      <c r="N155" s="552"/>
      <c r="O155" s="196"/>
    </row>
    <row r="156" spans="1:16" ht="27.95" customHeight="1">
      <c r="A156" s="404"/>
      <c r="B156" s="330" t="s">
        <v>136</v>
      </c>
      <c r="C156" s="327" t="s">
        <v>28</v>
      </c>
      <c r="D156" s="331">
        <v>20.5</v>
      </c>
      <c r="E156" s="319"/>
      <c r="F156" s="403"/>
      <c r="I156" s="190"/>
      <c r="J156" s="573"/>
      <c r="K156" s="546"/>
      <c r="L156" s="547"/>
      <c r="M156" s="609"/>
      <c r="N156" s="552"/>
      <c r="O156" s="196"/>
    </row>
    <row r="157" spans="1:16" ht="24" customHeight="1">
      <c r="A157" s="374"/>
      <c r="B157" s="332" t="s">
        <v>36</v>
      </c>
      <c r="C157" s="360" t="s">
        <v>3</v>
      </c>
      <c r="D157" s="359">
        <v>1.2</v>
      </c>
      <c r="E157" s="319"/>
      <c r="F157" s="403"/>
      <c r="I157" s="539"/>
      <c r="J157" s="539"/>
      <c r="K157" s="198"/>
      <c r="L157" s="198"/>
      <c r="M157" s="539"/>
      <c r="N157" s="198"/>
      <c r="O157" s="200"/>
    </row>
    <row r="158" spans="1:16" ht="25.5" customHeight="1">
      <c r="A158" s="404"/>
      <c r="B158" s="330" t="s">
        <v>58</v>
      </c>
      <c r="C158" s="327" t="s">
        <v>4</v>
      </c>
      <c r="D158" s="331">
        <f>((1.2*1.2*0.12)-(0.3*0.3*3.1416*0.12))</f>
        <v>0.13887071999999998</v>
      </c>
      <c r="E158" s="319"/>
      <c r="F158" s="403"/>
      <c r="I158" s="190"/>
      <c r="J158" s="190"/>
      <c r="K158" s="174"/>
      <c r="L158" s="174"/>
      <c r="M158" s="93"/>
      <c r="N158" s="174"/>
      <c r="O158" s="93"/>
    </row>
    <row r="159" spans="1:16" ht="26.1" customHeight="1">
      <c r="A159" s="374"/>
      <c r="B159" s="405" t="s">
        <v>215</v>
      </c>
      <c r="C159" s="327" t="s">
        <v>27</v>
      </c>
      <c r="D159" s="331">
        <v>1</v>
      </c>
      <c r="E159" s="329"/>
      <c r="F159" s="403"/>
      <c r="I159" s="190"/>
      <c r="J159" s="190"/>
      <c r="K159" s="174"/>
      <c r="L159" s="174"/>
      <c r="M159" s="93"/>
      <c r="N159" s="174"/>
      <c r="O159" s="93"/>
    </row>
    <row r="160" spans="1:16" ht="27" customHeight="1" thickBot="1">
      <c r="A160" s="731" t="s">
        <v>5</v>
      </c>
      <c r="B160" s="732"/>
      <c r="C160" s="732"/>
      <c r="D160" s="732"/>
      <c r="E160" s="733"/>
      <c r="F160" s="406">
        <f>ROUND(SUM(F150:F159)-0.02,0)</f>
        <v>0</v>
      </c>
      <c r="I160" s="539"/>
      <c r="J160" s="539"/>
      <c r="K160" s="198"/>
      <c r="L160" s="198"/>
      <c r="M160" s="539"/>
      <c r="N160" s="564"/>
      <c r="O160" s="198"/>
    </row>
    <row r="161" spans="1:15" ht="15.75">
      <c r="I161" s="93"/>
      <c r="J161" s="539"/>
      <c r="K161" s="198"/>
      <c r="L161" s="576"/>
      <c r="M161" s="580"/>
      <c r="N161" s="576"/>
      <c r="O161" s="199"/>
    </row>
    <row r="162" spans="1:15">
      <c r="A162" s="190"/>
      <c r="B162" s="232"/>
      <c r="C162" s="190"/>
      <c r="D162" s="246"/>
      <c r="E162" s="71"/>
      <c r="F162" s="111"/>
      <c r="G162" s="138"/>
      <c r="I162" s="93"/>
      <c r="J162" s="545"/>
      <c r="K162" s="190"/>
      <c r="L162" s="557"/>
      <c r="M162" s="196"/>
      <c r="N162" s="174"/>
      <c r="O162" s="93"/>
    </row>
    <row r="163" spans="1:15" ht="15.75" thickBot="1">
      <c r="A163" s="247"/>
      <c r="B163" s="237"/>
      <c r="C163" s="190"/>
      <c r="D163" s="246"/>
      <c r="E163" s="71"/>
      <c r="F163" s="111"/>
      <c r="G163" s="138"/>
      <c r="I163" s="93"/>
      <c r="J163" s="545"/>
      <c r="K163" s="190"/>
      <c r="L163" s="557"/>
      <c r="M163" s="196"/>
      <c r="N163" s="610"/>
      <c r="O163" s="93"/>
    </row>
    <row r="164" spans="1:15" ht="28.5" customHeight="1" thickBot="1">
      <c r="A164" s="407"/>
      <c r="B164" s="746" t="s">
        <v>106</v>
      </c>
      <c r="C164" s="704"/>
      <c r="D164" s="704"/>
      <c r="E164" s="747"/>
      <c r="F164" s="310" t="s">
        <v>184</v>
      </c>
      <c r="G164" s="138"/>
      <c r="I164" s="93"/>
      <c r="J164" s="545"/>
      <c r="K164" s="190"/>
      <c r="L164" s="557"/>
      <c r="M164" s="196"/>
      <c r="N164" s="174"/>
      <c r="O164" s="93"/>
    </row>
    <row r="165" spans="1:15" ht="18.75" customHeight="1" thickBot="1">
      <c r="A165" s="311" t="s">
        <v>240</v>
      </c>
      <c r="B165" s="312" t="s">
        <v>7</v>
      </c>
      <c r="C165" s="313" t="s">
        <v>0</v>
      </c>
      <c r="D165" s="313" t="s">
        <v>8</v>
      </c>
      <c r="E165" s="313" t="s">
        <v>2</v>
      </c>
      <c r="F165" s="53" t="s">
        <v>9</v>
      </c>
      <c r="G165" s="138"/>
      <c r="I165" s="93"/>
      <c r="J165" s="545"/>
      <c r="K165" s="190"/>
      <c r="L165" s="557"/>
      <c r="M165" s="196"/>
      <c r="N165" s="174"/>
      <c r="O165" s="93"/>
    </row>
    <row r="166" spans="1:15" ht="18.75" customHeight="1">
      <c r="A166" s="408"/>
      <c r="B166" s="399" t="s">
        <v>31</v>
      </c>
      <c r="C166" s="409" t="s">
        <v>32</v>
      </c>
      <c r="D166" s="410">
        <v>10</v>
      </c>
      <c r="E166" s="411"/>
      <c r="F166" s="403"/>
      <c r="G166" s="138"/>
      <c r="I166" s="539"/>
      <c r="J166" s="539"/>
      <c r="K166" s="198"/>
      <c r="L166" s="198"/>
      <c r="M166" s="539"/>
      <c r="N166" s="198"/>
      <c r="O166" s="200"/>
    </row>
    <row r="167" spans="1:15" ht="33.6" customHeight="1">
      <c r="A167" s="404"/>
      <c r="B167" s="330" t="s">
        <v>53</v>
      </c>
      <c r="C167" s="412" t="s">
        <v>32</v>
      </c>
      <c r="D167" s="413">
        <v>5</v>
      </c>
      <c r="E167" s="414"/>
      <c r="F167" s="403"/>
      <c r="G167" s="138"/>
      <c r="I167" s="190"/>
      <c r="J167" s="190"/>
      <c r="K167" s="174"/>
      <c r="L167" s="174"/>
      <c r="M167" s="93"/>
      <c r="N167" s="174"/>
      <c r="O167" s="93"/>
    </row>
    <row r="168" spans="1:15" ht="27.6" customHeight="1">
      <c r="A168" s="404"/>
      <c r="B168" s="343" t="s">
        <v>33</v>
      </c>
      <c r="C168" s="412" t="s">
        <v>27</v>
      </c>
      <c r="D168" s="413">
        <v>0.3</v>
      </c>
      <c r="E168" s="414"/>
      <c r="F168" s="403"/>
      <c r="G168" s="138"/>
      <c r="I168" s="190"/>
      <c r="J168" s="190"/>
      <c r="K168" s="174"/>
      <c r="L168" s="174"/>
      <c r="M168" s="93"/>
      <c r="N168" s="174"/>
      <c r="O168" s="93"/>
    </row>
    <row r="169" spans="1:15" ht="18.75" customHeight="1">
      <c r="A169" s="404"/>
      <c r="B169" s="357" t="s">
        <v>65</v>
      </c>
      <c r="C169" s="412" t="s">
        <v>32</v>
      </c>
      <c r="D169" s="413">
        <v>30</v>
      </c>
      <c r="E169" s="414"/>
      <c r="F169" s="403"/>
      <c r="G169" s="138"/>
      <c r="I169" s="539"/>
      <c r="J169" s="539"/>
      <c r="K169" s="198"/>
      <c r="L169" s="198"/>
      <c r="M169" s="539"/>
      <c r="N169" s="564"/>
      <c r="O169" s="198"/>
    </row>
    <row r="170" spans="1:15" ht="18.75" customHeight="1">
      <c r="A170" s="404"/>
      <c r="B170" s="415" t="s">
        <v>22</v>
      </c>
      <c r="C170" s="322" t="s">
        <v>29</v>
      </c>
      <c r="D170" s="416">
        <v>2.5</v>
      </c>
      <c r="E170" s="417"/>
      <c r="F170" s="403"/>
      <c r="G170" s="138"/>
      <c r="I170" s="93"/>
      <c r="J170" s="227"/>
      <c r="K170" s="228"/>
      <c r="L170" s="293"/>
      <c r="M170" s="200"/>
      <c r="N170" s="295"/>
      <c r="O170" s="229"/>
    </row>
    <row r="171" spans="1:15" ht="18.75" customHeight="1">
      <c r="A171" s="404"/>
      <c r="B171" s="332" t="s">
        <v>54</v>
      </c>
      <c r="C171" s="360" t="s">
        <v>3</v>
      </c>
      <c r="D171" s="418">
        <v>12</v>
      </c>
      <c r="E171" s="414"/>
      <c r="F171" s="403"/>
      <c r="G171" s="138"/>
      <c r="I171" s="93"/>
      <c r="J171" s="573"/>
      <c r="K171" s="546"/>
      <c r="L171" s="547"/>
      <c r="M171" s="196"/>
      <c r="N171" s="552"/>
      <c r="O171" s="196"/>
    </row>
    <row r="172" spans="1:15" ht="18.75" customHeight="1">
      <c r="A172" s="404"/>
      <c r="B172" s="419" t="s">
        <v>226</v>
      </c>
      <c r="C172" s="420" t="s">
        <v>4</v>
      </c>
      <c r="D172" s="418">
        <v>0.8</v>
      </c>
      <c r="E172" s="421"/>
      <c r="F172" s="403"/>
      <c r="G172" s="138"/>
      <c r="I172" s="93"/>
      <c r="J172" s="573"/>
      <c r="K172" s="546"/>
      <c r="L172" s="547"/>
      <c r="M172" s="196"/>
      <c r="N172" s="552"/>
      <c r="O172" s="196"/>
    </row>
    <row r="173" spans="1:15" ht="18.75" customHeight="1" thickBot="1">
      <c r="A173" s="422"/>
      <c r="B173" s="423" t="s">
        <v>59</v>
      </c>
      <c r="C173" s="364" t="s">
        <v>3</v>
      </c>
      <c r="D173" s="424">
        <v>12</v>
      </c>
      <c r="E173" s="425"/>
      <c r="F173" s="403"/>
      <c r="G173" s="138"/>
      <c r="I173" s="93"/>
      <c r="J173" s="573"/>
      <c r="K173" s="546"/>
      <c r="L173" s="547"/>
      <c r="M173" s="196"/>
      <c r="N173" s="552"/>
      <c r="O173" s="196"/>
    </row>
    <row r="174" spans="1:15" ht="18.75" customHeight="1" thickBot="1">
      <c r="A174" s="734" t="s">
        <v>5</v>
      </c>
      <c r="B174" s="735"/>
      <c r="C174" s="735"/>
      <c r="D174" s="735"/>
      <c r="E174" s="736"/>
      <c r="F174" s="426">
        <f>ROUND(SUM(F166:F173),0)</f>
        <v>0</v>
      </c>
      <c r="G174" s="138"/>
      <c r="I174" s="539"/>
      <c r="J174" s="539"/>
      <c r="K174" s="198"/>
      <c r="L174" s="198"/>
      <c r="M174" s="539"/>
      <c r="N174" s="198"/>
      <c r="O174" s="200"/>
    </row>
    <row r="175" spans="1:15" ht="18.75" customHeight="1">
      <c r="G175" s="138"/>
      <c r="I175" s="190"/>
      <c r="J175" s="190"/>
      <c r="K175" s="174"/>
      <c r="L175" s="174"/>
      <c r="M175" s="93"/>
      <c r="N175" s="174"/>
      <c r="O175" s="93"/>
    </row>
    <row r="176" spans="1:15" ht="18.75" customHeight="1" thickBot="1">
      <c r="G176" s="138"/>
      <c r="I176" s="190"/>
      <c r="J176" s="190"/>
      <c r="K176" s="174"/>
      <c r="L176" s="174"/>
      <c r="M176" s="93"/>
      <c r="N176" s="174"/>
      <c r="O176" s="93"/>
    </row>
    <row r="177" spans="1:15" ht="18.75" customHeight="1" thickBot="1">
      <c r="A177" s="407"/>
      <c r="B177" s="744" t="s">
        <v>85</v>
      </c>
      <c r="C177" s="738"/>
      <c r="D177" s="738"/>
      <c r="E177" s="745"/>
      <c r="F177" s="310" t="s">
        <v>222</v>
      </c>
      <c r="G177" s="138"/>
      <c r="I177" s="539"/>
      <c r="J177" s="539"/>
      <c r="K177" s="198"/>
      <c r="L177" s="198"/>
      <c r="M177" s="539"/>
      <c r="N177" s="564"/>
      <c r="O177" s="198"/>
    </row>
    <row r="178" spans="1:15" ht="18.75" customHeight="1">
      <c r="A178" s="311" t="s">
        <v>241</v>
      </c>
      <c r="B178" s="312" t="s">
        <v>7</v>
      </c>
      <c r="C178" s="313" t="s">
        <v>0</v>
      </c>
      <c r="D178" s="313" t="s">
        <v>8</v>
      </c>
      <c r="E178" s="313" t="s">
        <v>2</v>
      </c>
      <c r="F178" s="53" t="s">
        <v>9</v>
      </c>
      <c r="G178" s="138"/>
      <c r="I178" s="93"/>
      <c r="J178" s="539"/>
      <c r="K178" s="198"/>
      <c r="L178" s="576"/>
      <c r="M178" s="200"/>
      <c r="N178" s="576"/>
      <c r="O178" s="200"/>
    </row>
    <row r="179" spans="1:15" ht="18.75" customHeight="1">
      <c r="A179" s="427"/>
      <c r="B179" s="375" t="s">
        <v>16</v>
      </c>
      <c r="C179" s="376" t="s">
        <v>10</v>
      </c>
      <c r="D179" s="377">
        <v>0.05</v>
      </c>
      <c r="E179" s="428"/>
      <c r="F179" s="320"/>
      <c r="G179" s="138"/>
      <c r="I179" s="93"/>
      <c r="J179" s="573"/>
      <c r="K179" s="546"/>
      <c r="L179" s="547"/>
      <c r="M179" s="196"/>
      <c r="N179" s="552"/>
      <c r="O179" s="196"/>
    </row>
    <row r="180" spans="1:15" ht="15.75">
      <c r="A180" s="427"/>
      <c r="B180" s="375" t="s">
        <v>17</v>
      </c>
      <c r="C180" s="376" t="s">
        <v>15</v>
      </c>
      <c r="D180" s="377">
        <v>0.1</v>
      </c>
      <c r="E180" s="428"/>
      <c r="F180" s="320"/>
      <c r="G180" s="138"/>
      <c r="I180" s="93"/>
      <c r="J180" s="573"/>
      <c r="K180" s="546"/>
      <c r="L180" s="611"/>
      <c r="M180" s="196"/>
      <c r="N180" s="552"/>
      <c r="O180" s="196"/>
    </row>
    <row r="181" spans="1:15">
      <c r="A181" s="429"/>
      <c r="B181" s="430" t="s">
        <v>216</v>
      </c>
      <c r="C181" s="431" t="s">
        <v>3</v>
      </c>
      <c r="D181" s="432">
        <v>2</v>
      </c>
      <c r="E181" s="433"/>
      <c r="F181" s="320"/>
      <c r="G181" s="138"/>
      <c r="I181" s="93"/>
      <c r="J181" s="573"/>
      <c r="K181" s="546"/>
      <c r="L181" s="547"/>
      <c r="M181" s="196"/>
      <c r="N181" s="608"/>
      <c r="O181" s="196"/>
    </row>
    <row r="182" spans="1:15">
      <c r="A182" s="404"/>
      <c r="B182" s="330" t="s">
        <v>219</v>
      </c>
      <c r="C182" s="412" t="s">
        <v>221</v>
      </c>
      <c r="D182" s="413">
        <v>45</v>
      </c>
      <c r="E182" s="329"/>
      <c r="F182" s="320"/>
      <c r="G182" s="138"/>
      <c r="I182" s="93"/>
      <c r="J182" s="573"/>
      <c r="K182" s="546"/>
      <c r="L182" s="547"/>
      <c r="M182" s="196"/>
      <c r="N182" s="552"/>
      <c r="O182" s="196"/>
    </row>
    <row r="183" spans="1:15" ht="30">
      <c r="A183" s="404"/>
      <c r="B183" s="343" t="s">
        <v>76</v>
      </c>
      <c r="C183" s="412" t="s">
        <v>4</v>
      </c>
      <c r="D183" s="434">
        <v>0.11</v>
      </c>
      <c r="E183" s="329"/>
      <c r="F183" s="320"/>
      <c r="G183" s="138"/>
      <c r="I183" s="539"/>
      <c r="J183" s="539"/>
      <c r="K183" s="198"/>
      <c r="L183" s="198"/>
      <c r="M183" s="539"/>
      <c r="N183" s="198"/>
      <c r="O183" s="200"/>
    </row>
    <row r="184" spans="1:15">
      <c r="A184" s="404"/>
      <c r="B184" s="357" t="s">
        <v>220</v>
      </c>
      <c r="C184" s="412" t="s">
        <v>3</v>
      </c>
      <c r="D184" s="413">
        <v>0.6</v>
      </c>
      <c r="E184" s="329"/>
      <c r="F184" s="320"/>
      <c r="G184" s="138"/>
      <c r="I184" s="190"/>
      <c r="J184" s="190"/>
      <c r="K184" s="174"/>
      <c r="L184" s="174"/>
      <c r="M184" s="93"/>
      <c r="N184" s="174"/>
      <c r="O184" s="93"/>
    </row>
    <row r="185" spans="1:15" ht="15.75">
      <c r="A185" s="404"/>
      <c r="B185" s="415" t="s">
        <v>223</v>
      </c>
      <c r="C185" s="322" t="s">
        <v>29</v>
      </c>
      <c r="D185" s="416">
        <v>0.2</v>
      </c>
      <c r="E185" s="319"/>
      <c r="F185" s="320"/>
      <c r="G185" s="138"/>
      <c r="I185" s="539"/>
      <c r="J185" s="539"/>
      <c r="K185" s="198"/>
      <c r="L185" s="198"/>
      <c r="M185" s="539"/>
      <c r="N185" s="564"/>
      <c r="O185" s="198"/>
    </row>
    <row r="186" spans="1:15" ht="16.5" thickBot="1">
      <c r="A186" s="404"/>
      <c r="B186" s="435" t="s">
        <v>19</v>
      </c>
      <c r="C186" s="436" t="s">
        <v>12</v>
      </c>
      <c r="D186" s="418">
        <v>0.1</v>
      </c>
      <c r="E186" s="329"/>
      <c r="F186" s="320"/>
      <c r="G186" s="138"/>
      <c r="I186" s="190"/>
      <c r="J186" s="227"/>
      <c r="K186" s="295"/>
      <c r="L186" s="293"/>
      <c r="M186" s="200"/>
      <c r="N186" s="295"/>
      <c r="O186" s="229"/>
    </row>
    <row r="187" spans="1:15" ht="15.75" thickBot="1">
      <c r="A187" s="273"/>
      <c r="B187" s="274"/>
      <c r="C187" s="273"/>
      <c r="D187" s="273"/>
      <c r="E187" s="273"/>
      <c r="F187" s="33"/>
      <c r="G187" s="138"/>
      <c r="I187" s="190"/>
      <c r="J187" s="545"/>
      <c r="K187" s="552"/>
      <c r="L187" s="547"/>
      <c r="M187" s="196"/>
      <c r="N187" s="552"/>
      <c r="O187" s="196"/>
    </row>
    <row r="188" spans="1:15" ht="16.5" thickBot="1">
      <c r="A188" s="734" t="s">
        <v>5</v>
      </c>
      <c r="B188" s="735"/>
      <c r="C188" s="735"/>
      <c r="D188" s="735"/>
      <c r="E188" s="736"/>
      <c r="F188" s="540">
        <f>ROUND(SUM(F179:F186),0)</f>
        <v>0</v>
      </c>
      <c r="G188" s="138"/>
      <c r="I188" s="190"/>
      <c r="J188" s="545"/>
      <c r="K188" s="552"/>
      <c r="L188" s="547"/>
      <c r="M188" s="196"/>
      <c r="N188" s="552"/>
      <c r="O188" s="196"/>
    </row>
    <row r="189" spans="1:15" ht="15.75">
      <c r="A189" s="74"/>
      <c r="B189" s="24"/>
      <c r="C189" s="32"/>
      <c r="D189" s="32"/>
      <c r="E189" s="32"/>
      <c r="F189" s="33"/>
      <c r="G189" s="138"/>
      <c r="I189" s="190"/>
      <c r="J189" s="573"/>
      <c r="K189" s="552"/>
      <c r="L189" s="547"/>
      <c r="M189" s="196"/>
      <c r="N189" s="612"/>
      <c r="O189" s="196"/>
    </row>
    <row r="190" spans="1:15">
      <c r="A190" s="32"/>
      <c r="B190" s="24"/>
      <c r="C190" s="32"/>
      <c r="D190" s="32"/>
      <c r="E190" s="32"/>
      <c r="F190" s="33"/>
      <c r="G190" s="138"/>
      <c r="I190" s="190"/>
      <c r="J190" s="573"/>
      <c r="K190" s="552"/>
      <c r="L190" s="547"/>
      <c r="M190" s="196"/>
      <c r="N190" s="552"/>
      <c r="O190" s="196"/>
    </row>
    <row r="191" spans="1:15" ht="16.5" thickBot="1">
      <c r="A191" s="74"/>
      <c r="B191" s="24"/>
      <c r="C191" s="32"/>
      <c r="D191" s="32"/>
      <c r="E191" s="32"/>
      <c r="F191" s="33"/>
      <c r="G191" s="138"/>
      <c r="I191" s="539"/>
      <c r="J191" s="539"/>
      <c r="K191" s="198"/>
      <c r="L191" s="198"/>
      <c r="M191" s="539"/>
      <c r="N191" s="198"/>
      <c r="O191" s="200"/>
    </row>
    <row r="192" spans="1:15" ht="16.5" thickBot="1">
      <c r="A192" s="407"/>
      <c r="B192" s="730" t="s">
        <v>183</v>
      </c>
      <c r="C192" s="730"/>
      <c r="D192" s="730"/>
      <c r="E192" s="730"/>
      <c r="F192" s="310" t="s">
        <v>63</v>
      </c>
      <c r="G192" s="138"/>
      <c r="I192" s="190"/>
      <c r="J192" s="190"/>
      <c r="K192" s="174"/>
      <c r="L192" s="174"/>
      <c r="M192" s="93"/>
      <c r="N192" s="174"/>
      <c r="O192" s="93"/>
    </row>
    <row r="193" spans="1:15" ht="15.75" thickBot="1">
      <c r="A193" s="437"/>
      <c r="B193" s="438"/>
      <c r="C193" s="437"/>
      <c r="D193" s="437"/>
      <c r="E193" s="437"/>
      <c r="F193" s="33"/>
      <c r="G193" s="138"/>
      <c r="I193" s="190"/>
      <c r="J193" s="190"/>
      <c r="K193" s="174"/>
      <c r="L193" s="174"/>
      <c r="M193" s="93"/>
      <c r="N193" s="174"/>
      <c r="O193" s="93"/>
    </row>
    <row r="194" spans="1:15" ht="15.75">
      <c r="A194" s="439" t="s">
        <v>242</v>
      </c>
      <c r="B194" s="440" t="s">
        <v>7</v>
      </c>
      <c r="C194" s="441" t="s">
        <v>0</v>
      </c>
      <c r="D194" s="441" t="s">
        <v>8</v>
      </c>
      <c r="E194" s="441" t="s">
        <v>2</v>
      </c>
      <c r="F194" s="442" t="s">
        <v>9</v>
      </c>
      <c r="G194" s="138"/>
      <c r="I194" s="539"/>
      <c r="J194" s="539"/>
      <c r="K194" s="198"/>
      <c r="L194" s="198"/>
      <c r="M194" s="539"/>
      <c r="N194" s="564"/>
      <c r="O194" s="198"/>
    </row>
    <row r="195" spans="1:15" ht="15.75">
      <c r="A195" s="374"/>
      <c r="B195" s="330" t="s">
        <v>31</v>
      </c>
      <c r="C195" s="327" t="s">
        <v>32</v>
      </c>
      <c r="D195" s="443">
        <v>10</v>
      </c>
      <c r="E195" s="329"/>
      <c r="F195" s="403"/>
      <c r="G195" s="138"/>
      <c r="I195" s="190"/>
      <c r="J195" s="565"/>
      <c r="K195" s="228"/>
      <c r="L195" s="293"/>
      <c r="M195" s="200"/>
      <c r="N195" s="295"/>
      <c r="O195" s="229"/>
    </row>
    <row r="196" spans="1:15" ht="30">
      <c r="A196" s="342"/>
      <c r="B196" s="316" t="s">
        <v>53</v>
      </c>
      <c r="C196" s="327" t="s">
        <v>32</v>
      </c>
      <c r="D196" s="443">
        <v>5</v>
      </c>
      <c r="E196" s="319"/>
      <c r="F196" s="403"/>
      <c r="G196" s="138"/>
      <c r="I196" s="190"/>
      <c r="J196" s="573"/>
      <c r="K196" s="546"/>
      <c r="L196" s="547"/>
      <c r="M196" s="196"/>
      <c r="N196" s="552"/>
      <c r="O196" s="196"/>
    </row>
    <row r="197" spans="1:15">
      <c r="A197" s="374"/>
      <c r="B197" s="330" t="s">
        <v>72</v>
      </c>
      <c r="C197" s="327" t="s">
        <v>32</v>
      </c>
      <c r="D197" s="443">
        <v>10</v>
      </c>
      <c r="E197" s="319"/>
      <c r="F197" s="403"/>
      <c r="G197" s="138"/>
      <c r="I197" s="190"/>
      <c r="J197" s="573"/>
      <c r="K197" s="546"/>
      <c r="L197" s="547"/>
      <c r="M197" s="196"/>
      <c r="N197" s="552"/>
      <c r="O197" s="196"/>
    </row>
    <row r="198" spans="1:15">
      <c r="A198" s="342"/>
      <c r="B198" s="343" t="s">
        <v>33</v>
      </c>
      <c r="C198" s="412" t="s">
        <v>37</v>
      </c>
      <c r="D198" s="444">
        <v>0.2</v>
      </c>
      <c r="E198" s="319"/>
      <c r="F198" s="403"/>
      <c r="G198" s="138"/>
      <c r="I198" s="190"/>
      <c r="J198" s="573"/>
      <c r="K198" s="546"/>
      <c r="L198" s="547"/>
      <c r="M198" s="196"/>
      <c r="N198" s="552"/>
      <c r="O198" s="196"/>
    </row>
    <row r="199" spans="1:15" ht="28.5" customHeight="1">
      <c r="A199" s="374"/>
      <c r="B199" s="445" t="s">
        <v>179</v>
      </c>
      <c r="C199" s="412" t="s">
        <v>32</v>
      </c>
      <c r="D199" s="446">
        <v>2.7</v>
      </c>
      <c r="E199" s="329"/>
      <c r="F199" s="403"/>
      <c r="G199" s="138"/>
      <c r="I199" s="190"/>
      <c r="J199" s="573"/>
      <c r="K199" s="546"/>
      <c r="L199" s="547"/>
      <c r="M199" s="196"/>
      <c r="N199" s="552"/>
      <c r="O199" s="196"/>
    </row>
    <row r="200" spans="1:15">
      <c r="A200" s="342"/>
      <c r="B200" s="357" t="s">
        <v>65</v>
      </c>
      <c r="C200" s="412" t="s">
        <v>32</v>
      </c>
      <c r="D200" s="444">
        <f>+(3.6+2.5)*2</f>
        <v>12.2</v>
      </c>
      <c r="E200" s="329"/>
      <c r="F200" s="403"/>
      <c r="G200" s="138"/>
      <c r="I200" s="190"/>
      <c r="J200" s="573"/>
      <c r="K200" s="546"/>
      <c r="L200" s="547"/>
      <c r="M200" s="196"/>
      <c r="N200" s="552"/>
      <c r="O200" s="196"/>
    </row>
    <row r="201" spans="1:15" ht="15.75">
      <c r="A201" s="374"/>
      <c r="B201" s="330" t="s">
        <v>66</v>
      </c>
      <c r="C201" s="412" t="s">
        <v>3</v>
      </c>
      <c r="D201" s="444">
        <f>3.6*2.5</f>
        <v>9</v>
      </c>
      <c r="E201" s="329"/>
      <c r="F201" s="403"/>
      <c r="G201" s="138"/>
      <c r="I201" s="539"/>
      <c r="J201" s="539"/>
      <c r="K201" s="198"/>
      <c r="L201" s="198"/>
      <c r="M201" s="539"/>
      <c r="N201" s="198"/>
      <c r="O201" s="200"/>
    </row>
    <row r="202" spans="1:15">
      <c r="A202" s="342"/>
      <c r="B202" s="330" t="s">
        <v>62</v>
      </c>
      <c r="C202" s="412" t="s">
        <v>4</v>
      </c>
      <c r="D202" s="444">
        <f>3.6*2.5*2.6+1*1*0.85</f>
        <v>24.250000000000004</v>
      </c>
      <c r="E202" s="329"/>
      <c r="F202" s="403"/>
      <c r="G202" s="138"/>
      <c r="I202" s="190"/>
      <c r="J202" s="190"/>
      <c r="K202" s="174"/>
      <c r="L202" s="174"/>
      <c r="M202" s="93"/>
      <c r="N202" s="174"/>
      <c r="O202" s="93"/>
    </row>
    <row r="203" spans="1:15" ht="15.75">
      <c r="A203" s="374"/>
      <c r="B203" s="332" t="s">
        <v>56</v>
      </c>
      <c r="C203" s="412" t="s">
        <v>4</v>
      </c>
      <c r="D203" s="444">
        <f>+(D201*0.12*1.1)+(D202*1.15)</f>
        <v>29.075500000000002</v>
      </c>
      <c r="E203" s="319"/>
      <c r="F203" s="403"/>
      <c r="G203" s="138"/>
      <c r="I203" s="539"/>
      <c r="J203" s="539"/>
      <c r="K203" s="198"/>
      <c r="L203" s="198"/>
      <c r="M203" s="539"/>
      <c r="N203" s="564"/>
      <c r="O203" s="198"/>
    </row>
    <row r="204" spans="1:15" ht="15.75">
      <c r="A204" s="342"/>
      <c r="B204" s="332" t="s">
        <v>35</v>
      </c>
      <c r="C204" s="412" t="s">
        <v>4</v>
      </c>
      <c r="D204" s="444">
        <f>+D203</f>
        <v>29.075500000000002</v>
      </c>
      <c r="E204" s="319"/>
      <c r="F204" s="403"/>
      <c r="G204" s="138"/>
      <c r="I204" s="190"/>
      <c r="J204" s="539"/>
      <c r="K204" s="198"/>
      <c r="L204" s="576"/>
      <c r="M204" s="200"/>
      <c r="N204" s="576"/>
      <c r="O204" s="200"/>
    </row>
    <row r="205" spans="1:15">
      <c r="A205" s="374"/>
      <c r="B205" s="343" t="s">
        <v>77</v>
      </c>
      <c r="C205" s="412" t="s">
        <v>4</v>
      </c>
      <c r="D205" s="444">
        <f>5*2.9*0.15</f>
        <v>2.1749999999999998</v>
      </c>
      <c r="E205" s="319"/>
      <c r="F205" s="403"/>
      <c r="G205" s="138"/>
      <c r="I205" s="190"/>
      <c r="J205" s="545"/>
      <c r="K205" s="190"/>
      <c r="L205" s="547"/>
      <c r="M205" s="196"/>
      <c r="N205" s="552"/>
      <c r="O205" s="196"/>
    </row>
    <row r="206" spans="1:15" ht="30">
      <c r="A206" s="342"/>
      <c r="B206" s="343" t="s">
        <v>76</v>
      </c>
      <c r="C206" s="412" t="s">
        <v>4</v>
      </c>
      <c r="D206" s="443">
        <f>+AA352</f>
        <v>8.3811336324000774</v>
      </c>
      <c r="E206" s="319"/>
      <c r="F206" s="403"/>
      <c r="G206" s="138"/>
      <c r="I206" s="190"/>
      <c r="J206" s="545"/>
      <c r="K206" s="190"/>
      <c r="L206" s="547"/>
      <c r="M206" s="196"/>
      <c r="N206" s="552"/>
      <c r="O206" s="196"/>
    </row>
    <row r="207" spans="1:15" ht="30">
      <c r="A207" s="374"/>
      <c r="B207" s="445" t="s">
        <v>215</v>
      </c>
      <c r="C207" s="412" t="s">
        <v>37</v>
      </c>
      <c r="D207" s="444">
        <v>1</v>
      </c>
      <c r="E207" s="319"/>
      <c r="F207" s="403"/>
      <c r="G207" s="138"/>
      <c r="I207" s="190"/>
      <c r="J207" s="573"/>
      <c r="K207" s="546"/>
      <c r="L207" s="547"/>
      <c r="M207" s="196"/>
      <c r="N207" s="552"/>
      <c r="O207" s="196"/>
    </row>
    <row r="208" spans="1:15" ht="30">
      <c r="A208" s="342"/>
      <c r="B208" s="343" t="s">
        <v>86</v>
      </c>
      <c r="C208" s="412" t="s">
        <v>3</v>
      </c>
      <c r="D208" s="444">
        <f>1.3*0.8+1.33*0.6</f>
        <v>1.8380000000000001</v>
      </c>
      <c r="E208" s="329"/>
      <c r="F208" s="403"/>
      <c r="G208" s="138"/>
      <c r="I208" s="190"/>
      <c r="J208" s="573"/>
      <c r="K208" s="546"/>
      <c r="L208" s="547"/>
      <c r="M208" s="196"/>
      <c r="N208" s="552"/>
      <c r="O208" s="196"/>
    </row>
    <row r="209" spans="1:15" ht="27" customHeight="1">
      <c r="A209" s="374"/>
      <c r="B209" s="445" t="s">
        <v>84</v>
      </c>
      <c r="C209" s="412" t="s">
        <v>37</v>
      </c>
      <c r="D209" s="444">
        <v>2</v>
      </c>
      <c r="E209" s="319"/>
      <c r="F209" s="403"/>
      <c r="G209" s="138"/>
      <c r="I209" s="539"/>
      <c r="J209" s="539"/>
      <c r="K209" s="198"/>
      <c r="L209" s="198"/>
      <c r="M209" s="539"/>
      <c r="N209" s="198"/>
      <c r="O209" s="200"/>
    </row>
    <row r="210" spans="1:15">
      <c r="A210" s="342"/>
      <c r="B210" s="330" t="s">
        <v>136</v>
      </c>
      <c r="C210" s="412" t="s">
        <v>28</v>
      </c>
      <c r="D210" s="444">
        <f>+AC375</f>
        <v>739.1848</v>
      </c>
      <c r="E210" s="319"/>
      <c r="F210" s="403"/>
      <c r="G210" s="138"/>
      <c r="I210" s="190"/>
      <c r="J210" s="190"/>
      <c r="K210" s="174"/>
      <c r="L210" s="174"/>
      <c r="M210" s="93"/>
      <c r="N210" s="174"/>
      <c r="O210" s="93"/>
    </row>
    <row r="211" spans="1:15" ht="15.75">
      <c r="A211" s="374"/>
      <c r="B211" s="330" t="s">
        <v>69</v>
      </c>
      <c r="C211" s="412" t="s">
        <v>37</v>
      </c>
      <c r="D211" s="444">
        <v>7</v>
      </c>
      <c r="E211" s="319"/>
      <c r="F211" s="403"/>
      <c r="G211" s="138"/>
      <c r="I211" s="539"/>
      <c r="J211" s="539"/>
      <c r="K211" s="198"/>
      <c r="L211" s="198"/>
      <c r="M211" s="539"/>
      <c r="N211" s="564"/>
      <c r="O211" s="198"/>
    </row>
    <row r="212" spans="1:15" ht="30">
      <c r="A212" s="342"/>
      <c r="B212" s="330" t="s">
        <v>180</v>
      </c>
      <c r="C212" s="412" t="s">
        <v>3</v>
      </c>
      <c r="D212" s="444">
        <v>23</v>
      </c>
      <c r="E212" s="329"/>
      <c r="F212" s="403"/>
      <c r="G212" s="138"/>
      <c r="I212" s="190"/>
      <c r="J212" s="565"/>
      <c r="K212" s="228"/>
      <c r="L212" s="293"/>
      <c r="M212" s="200"/>
      <c r="N212" s="295"/>
      <c r="O212" s="200"/>
    </row>
    <row r="213" spans="1:15" ht="45">
      <c r="A213" s="374"/>
      <c r="B213" s="445" t="s">
        <v>87</v>
      </c>
      <c r="C213" s="412" t="s">
        <v>3</v>
      </c>
      <c r="D213" s="444">
        <f>2.5*4</f>
        <v>10</v>
      </c>
      <c r="E213" s="329"/>
      <c r="F213" s="403"/>
      <c r="G213" s="138"/>
      <c r="I213" s="190"/>
      <c r="J213" s="613"/>
      <c r="K213" s="546"/>
      <c r="L213" s="547"/>
      <c r="M213" s="196"/>
      <c r="N213" s="552"/>
      <c r="O213" s="196"/>
    </row>
    <row r="214" spans="1:15" ht="30">
      <c r="A214" s="342"/>
      <c r="B214" s="447" t="s">
        <v>88</v>
      </c>
      <c r="C214" s="327" t="s">
        <v>27</v>
      </c>
      <c r="D214" s="446">
        <v>4</v>
      </c>
      <c r="E214" s="329"/>
      <c r="F214" s="403"/>
      <c r="G214" s="138"/>
      <c r="I214" s="190"/>
      <c r="J214" s="573"/>
      <c r="K214" s="546"/>
      <c r="L214" s="547"/>
      <c r="M214" s="196"/>
      <c r="N214" s="552"/>
      <c r="O214" s="196"/>
    </row>
    <row r="215" spans="1:15" ht="45.75" thickBot="1">
      <c r="A215" s="382"/>
      <c r="B215" s="448" t="s">
        <v>89</v>
      </c>
      <c r="C215" s="335" t="s">
        <v>37</v>
      </c>
      <c r="D215" s="449">
        <v>1</v>
      </c>
      <c r="E215" s="450"/>
      <c r="F215" s="403"/>
      <c r="G215" s="138"/>
      <c r="I215" s="190"/>
      <c r="J215" s="573"/>
      <c r="K215" s="546"/>
      <c r="L215" s="547"/>
      <c r="M215" s="196"/>
      <c r="N215" s="552"/>
      <c r="O215" s="196"/>
    </row>
    <row r="216" spans="1:15" ht="15.75" thickBot="1">
      <c r="A216" s="451"/>
      <c r="B216" s="452"/>
      <c r="C216" s="453"/>
      <c r="D216" s="453"/>
      <c r="E216" s="454"/>
      <c r="F216" s="49"/>
      <c r="G216" s="138"/>
      <c r="I216" s="190"/>
      <c r="J216" s="573"/>
      <c r="K216" s="546"/>
      <c r="L216" s="547"/>
      <c r="M216" s="196"/>
      <c r="N216" s="552"/>
      <c r="O216" s="196"/>
    </row>
    <row r="217" spans="1:15" ht="30" customHeight="1" thickBot="1">
      <c r="A217" s="701" t="s">
        <v>5</v>
      </c>
      <c r="B217" s="702"/>
      <c r="C217" s="702"/>
      <c r="D217" s="702"/>
      <c r="E217" s="702"/>
      <c r="F217" s="541">
        <f>ROUND(SUM(F195:F216),0)</f>
        <v>0</v>
      </c>
      <c r="G217" s="138"/>
      <c r="I217" s="190"/>
      <c r="J217" s="573"/>
      <c r="K217" s="546"/>
      <c r="L217" s="547"/>
      <c r="M217" s="196"/>
      <c r="N217" s="552"/>
      <c r="O217" s="196"/>
    </row>
    <row r="218" spans="1:15" ht="26.25" customHeight="1">
      <c r="G218" s="138"/>
      <c r="I218" s="190"/>
      <c r="J218" s="573"/>
      <c r="K218" s="546"/>
      <c r="L218" s="547"/>
      <c r="M218" s="196"/>
      <c r="N218" s="552"/>
      <c r="O218" s="196"/>
    </row>
    <row r="219" spans="1:15" ht="46.5" customHeight="1" thickBot="1">
      <c r="G219" s="138"/>
      <c r="I219" s="190"/>
      <c r="J219" s="573"/>
      <c r="K219" s="546"/>
      <c r="L219" s="547"/>
      <c r="M219" s="196"/>
      <c r="N219" s="552"/>
      <c r="O219" s="196"/>
    </row>
    <row r="220" spans="1:15" ht="33.950000000000003" customHeight="1" thickBot="1">
      <c r="A220" s="455"/>
      <c r="B220" s="704" t="s">
        <v>269</v>
      </c>
      <c r="C220" s="704"/>
      <c r="D220" s="704"/>
      <c r="E220" s="704"/>
      <c r="F220" s="373" t="s">
        <v>104</v>
      </c>
      <c r="G220" s="138"/>
      <c r="I220" s="190"/>
      <c r="J220" s="573"/>
      <c r="K220" s="546"/>
      <c r="L220" s="547"/>
      <c r="M220" s="196"/>
      <c r="N220" s="552"/>
      <c r="O220" s="196"/>
    </row>
    <row r="221" spans="1:15" ht="15.75">
      <c r="A221" s="439" t="s">
        <v>243</v>
      </c>
      <c r="B221" s="440" t="s">
        <v>7</v>
      </c>
      <c r="C221" s="441" t="s">
        <v>0</v>
      </c>
      <c r="D221" s="441" t="s">
        <v>8</v>
      </c>
      <c r="E221" s="456" t="s">
        <v>2</v>
      </c>
      <c r="F221" s="442" t="s">
        <v>9</v>
      </c>
      <c r="G221" s="138"/>
      <c r="I221" s="190"/>
      <c r="J221" s="573"/>
      <c r="K221" s="546"/>
      <c r="L221" s="547"/>
      <c r="M221" s="196"/>
      <c r="N221" s="552"/>
      <c r="O221" s="196"/>
    </row>
    <row r="222" spans="1:15">
      <c r="A222" s="374"/>
      <c r="B222" s="316" t="s">
        <v>31</v>
      </c>
      <c r="C222" s="327" t="s">
        <v>32</v>
      </c>
      <c r="D222" s="331">
        <v>4</v>
      </c>
      <c r="E222" s="319"/>
      <c r="F222" s="403"/>
      <c r="G222" s="138"/>
      <c r="I222" s="190"/>
      <c r="J222" s="573"/>
      <c r="K222" s="546"/>
      <c r="L222" s="547"/>
      <c r="M222" s="196"/>
      <c r="N222" s="552"/>
      <c r="O222" s="196"/>
    </row>
    <row r="223" spans="1:15" ht="30.75">
      <c r="A223" s="457"/>
      <c r="B223" s="316" t="s">
        <v>53</v>
      </c>
      <c r="C223" s="458" t="s">
        <v>32</v>
      </c>
      <c r="D223" s="459">
        <v>4</v>
      </c>
      <c r="E223" s="319"/>
      <c r="F223" s="403"/>
      <c r="G223" s="138"/>
      <c r="I223" s="539"/>
      <c r="J223" s="539"/>
      <c r="K223" s="198"/>
      <c r="L223" s="198"/>
      <c r="M223" s="539"/>
      <c r="N223" s="198"/>
      <c r="O223" s="200"/>
    </row>
    <row r="224" spans="1:15">
      <c r="A224" s="374"/>
      <c r="B224" s="330" t="s">
        <v>65</v>
      </c>
      <c r="C224" s="327" t="s">
        <v>32</v>
      </c>
      <c r="D224" s="331">
        <f>+(1+1)*2</f>
        <v>4</v>
      </c>
      <c r="E224" s="319"/>
      <c r="F224" s="403"/>
      <c r="G224" s="138"/>
      <c r="I224" s="190"/>
      <c r="J224" s="190"/>
      <c r="K224" s="174"/>
      <c r="L224" s="174"/>
      <c r="M224" s="93"/>
      <c r="N224" s="174"/>
      <c r="O224" s="93"/>
    </row>
    <row r="225" spans="1:26" ht="15.75">
      <c r="A225" s="374"/>
      <c r="B225" s="330" t="s">
        <v>66</v>
      </c>
      <c r="C225" s="327" t="s">
        <v>3</v>
      </c>
      <c r="D225" s="328">
        <f>1.1*1.2</f>
        <v>1.32</v>
      </c>
      <c r="E225" s="319"/>
      <c r="F225" s="403"/>
      <c r="G225" s="138"/>
      <c r="I225" s="539"/>
      <c r="J225" s="539"/>
      <c r="K225" s="198"/>
      <c r="L225" s="198"/>
      <c r="M225" s="539"/>
      <c r="N225" s="564"/>
      <c r="O225" s="198"/>
      <c r="P225" s="72"/>
      <c r="Q225" s="73"/>
      <c r="R225" s="32"/>
    </row>
    <row r="226" spans="1:26" ht="15.75">
      <c r="A226" s="457"/>
      <c r="B226" s="330" t="s">
        <v>62</v>
      </c>
      <c r="C226" s="327" t="s">
        <v>4</v>
      </c>
      <c r="D226" s="331">
        <f>1.1*1.1*1</f>
        <v>1.2100000000000002</v>
      </c>
      <c r="E226" s="329"/>
      <c r="F226" s="403"/>
      <c r="G226" s="138"/>
      <c r="I226" s="190"/>
      <c r="J226" s="565"/>
      <c r="K226" s="228"/>
      <c r="L226" s="293"/>
      <c r="M226" s="200"/>
      <c r="N226" s="576"/>
      <c r="O226" s="200"/>
      <c r="P226" s="72"/>
      <c r="Q226" s="87"/>
      <c r="R226" s="32"/>
    </row>
    <row r="227" spans="1:26">
      <c r="A227" s="374"/>
      <c r="B227" s="330" t="s">
        <v>56</v>
      </c>
      <c r="C227" s="327" t="s">
        <v>4</v>
      </c>
      <c r="D227" s="331">
        <f>+D226</f>
        <v>1.2100000000000002</v>
      </c>
      <c r="E227" s="319"/>
      <c r="F227" s="403"/>
      <c r="G227" s="138"/>
      <c r="I227" s="190"/>
      <c r="J227" s="545"/>
      <c r="K227" s="546"/>
      <c r="L227" s="547"/>
      <c r="M227" s="196"/>
      <c r="N227" s="552"/>
      <c r="O227" s="196"/>
      <c r="P227" s="72"/>
      <c r="Q227" s="87"/>
      <c r="R227" s="32"/>
    </row>
    <row r="228" spans="1:26">
      <c r="A228" s="374"/>
      <c r="B228" s="330" t="s">
        <v>35</v>
      </c>
      <c r="C228" s="327" t="s">
        <v>4</v>
      </c>
      <c r="D228" s="331">
        <f>+D227</f>
        <v>1.2100000000000002</v>
      </c>
      <c r="E228" s="319"/>
      <c r="F228" s="403"/>
      <c r="G228" s="138"/>
      <c r="I228" s="190"/>
      <c r="J228" s="545"/>
      <c r="K228" s="546"/>
      <c r="L228" s="547"/>
      <c r="M228" s="196"/>
      <c r="N228" s="608"/>
      <c r="O228" s="196"/>
      <c r="P228" s="73"/>
      <c r="Q228" s="73"/>
      <c r="R228" s="32"/>
    </row>
    <row r="229" spans="1:26" ht="18.95" customHeight="1">
      <c r="A229" s="457"/>
      <c r="B229" s="330" t="s">
        <v>67</v>
      </c>
      <c r="C229" s="327" t="s">
        <v>4</v>
      </c>
      <c r="D229" s="331">
        <f>0.8*0.8*0.2</f>
        <v>0.12800000000000003</v>
      </c>
      <c r="E229" s="319"/>
      <c r="F229" s="403"/>
      <c r="G229" s="138"/>
      <c r="I229" s="539"/>
      <c r="J229" s="539"/>
      <c r="K229" s="198"/>
      <c r="L229" s="198"/>
      <c r="M229" s="539"/>
      <c r="N229" s="198"/>
      <c r="O229" s="200"/>
      <c r="P229" s="73"/>
      <c r="Q229" s="73"/>
      <c r="R229" s="32"/>
    </row>
    <row r="230" spans="1:26" s="75" customFormat="1">
      <c r="A230" s="374"/>
      <c r="B230" s="330" t="s">
        <v>36</v>
      </c>
      <c r="C230" s="327" t="s">
        <v>3</v>
      </c>
      <c r="D230" s="331">
        <f>1*0.8*4+1</f>
        <v>4.2</v>
      </c>
      <c r="E230" s="319"/>
      <c r="F230" s="403"/>
      <c r="G230" s="138" t="s">
        <v>218</v>
      </c>
      <c r="H230" s="48"/>
      <c r="I230" s="190"/>
      <c r="J230" s="190"/>
      <c r="K230" s="174"/>
      <c r="L230" s="174"/>
      <c r="M230" s="93"/>
      <c r="N230" s="174"/>
      <c r="O230" s="93"/>
      <c r="P230" s="73"/>
      <c r="Q230" s="73"/>
      <c r="R230" s="32"/>
      <c r="S230" s="55"/>
      <c r="T230" s="55"/>
      <c r="U230" s="55"/>
      <c r="V230" s="55"/>
      <c r="W230" s="55"/>
      <c r="X230" s="55"/>
      <c r="Y230" s="55"/>
      <c r="Z230" s="55"/>
    </row>
    <row r="231" spans="1:26" ht="24.75" customHeight="1">
      <c r="A231" s="374"/>
      <c r="B231" s="316" t="s">
        <v>136</v>
      </c>
      <c r="C231" s="327" t="s">
        <v>28</v>
      </c>
      <c r="D231" s="331">
        <v>12</v>
      </c>
      <c r="E231" s="319"/>
      <c r="F231" s="403"/>
      <c r="G231" s="138"/>
      <c r="I231" s="539"/>
      <c r="J231" s="539"/>
      <c r="K231" s="198"/>
      <c r="L231" s="198"/>
      <c r="M231" s="539"/>
      <c r="N231" s="564"/>
      <c r="O231" s="198"/>
    </row>
    <row r="232" spans="1:26" ht="15.95" customHeight="1">
      <c r="A232" s="457"/>
      <c r="B232" s="330" t="s">
        <v>58</v>
      </c>
      <c r="C232" s="327" t="s">
        <v>4</v>
      </c>
      <c r="D232" s="331">
        <f>+AK373</f>
        <v>0.42429203673205107</v>
      </c>
      <c r="E232" s="319"/>
      <c r="F232" s="403"/>
      <c r="G232" s="138"/>
      <c r="I232" s="190"/>
      <c r="J232" s="565"/>
      <c r="K232" s="228"/>
      <c r="L232" s="293"/>
      <c r="M232" s="200"/>
      <c r="N232" s="295"/>
      <c r="O232" s="200"/>
    </row>
    <row r="233" spans="1:26" ht="30">
      <c r="A233" s="374"/>
      <c r="B233" s="316" t="s">
        <v>68</v>
      </c>
      <c r="C233" s="317" t="s">
        <v>3</v>
      </c>
      <c r="D233" s="418">
        <f>1*2+0.8*2</f>
        <v>3.6</v>
      </c>
      <c r="E233" s="319"/>
      <c r="F233" s="403"/>
      <c r="G233" s="138"/>
      <c r="I233" s="190"/>
      <c r="J233" s="573"/>
      <c r="K233" s="546"/>
      <c r="L233" s="547"/>
      <c r="M233" s="196"/>
      <c r="N233" s="552"/>
      <c r="O233" s="196"/>
    </row>
    <row r="234" spans="1:26" ht="18" customHeight="1">
      <c r="A234" s="374"/>
      <c r="B234" s="460" t="s">
        <v>70</v>
      </c>
      <c r="C234" s="461" t="s">
        <v>27</v>
      </c>
      <c r="D234" s="462">
        <v>1</v>
      </c>
      <c r="E234" s="319"/>
      <c r="F234" s="403"/>
      <c r="G234" s="138"/>
      <c r="I234" s="190"/>
      <c r="J234" s="573"/>
      <c r="K234" s="546"/>
      <c r="L234" s="547"/>
      <c r="M234" s="196"/>
      <c r="N234" s="552"/>
      <c r="O234" s="196"/>
    </row>
    <row r="235" spans="1:26" ht="19.5" customHeight="1" thickBot="1">
      <c r="A235" s="457"/>
      <c r="B235" s="334" t="s">
        <v>69</v>
      </c>
      <c r="C235" s="335" t="s">
        <v>37</v>
      </c>
      <c r="D235" s="336">
        <v>2</v>
      </c>
      <c r="E235" s="337"/>
      <c r="F235" s="403"/>
      <c r="G235" s="138"/>
      <c r="I235" s="190"/>
      <c r="J235" s="573"/>
      <c r="K235" s="546"/>
      <c r="L235" s="547"/>
      <c r="M235" s="196"/>
      <c r="N235" s="552"/>
      <c r="O235" s="196"/>
    </row>
    <row r="236" spans="1:26" ht="15.75" thickBot="1">
      <c r="A236" s="463"/>
      <c r="B236" s="464"/>
      <c r="C236" s="138"/>
      <c r="D236" s="465"/>
      <c r="E236" s="466"/>
      <c r="F236" s="49"/>
      <c r="G236" s="138"/>
      <c r="I236" s="190"/>
      <c r="J236" s="573"/>
      <c r="K236" s="546"/>
      <c r="L236" s="547"/>
      <c r="M236" s="196"/>
      <c r="N236" s="552"/>
      <c r="O236" s="196"/>
    </row>
    <row r="237" spans="1:26" ht="15.6" customHeight="1" thickBot="1">
      <c r="A237" s="734" t="s">
        <v>5</v>
      </c>
      <c r="B237" s="735"/>
      <c r="C237" s="735"/>
      <c r="D237" s="735"/>
      <c r="E237" s="736"/>
      <c r="F237" s="541">
        <f>ROUND(SUM(F222:F235),0)</f>
        <v>0</v>
      </c>
      <c r="G237" s="138"/>
      <c r="I237" s="190"/>
      <c r="J237" s="573"/>
      <c r="K237" s="546"/>
      <c r="L237" s="547"/>
      <c r="M237" s="196"/>
      <c r="N237" s="552"/>
      <c r="O237" s="196"/>
    </row>
    <row r="238" spans="1:26" ht="20.100000000000001" customHeight="1">
      <c r="A238" s="292"/>
      <c r="B238" s="292"/>
      <c r="C238" s="292"/>
      <c r="D238" s="292"/>
      <c r="E238" s="292"/>
      <c r="F238" s="90"/>
      <c r="G238" s="138"/>
      <c r="I238" s="190"/>
      <c r="J238" s="573"/>
      <c r="K238" s="546"/>
      <c r="L238" s="547"/>
      <c r="M238" s="196"/>
      <c r="N238" s="552"/>
      <c r="O238" s="196"/>
    </row>
    <row r="239" spans="1:26" ht="20.100000000000001" customHeight="1" thickBot="1">
      <c r="A239" s="305"/>
      <c r="B239" s="305"/>
      <c r="C239" s="305"/>
      <c r="D239" s="305"/>
      <c r="E239" s="305"/>
      <c r="F239" s="90"/>
      <c r="G239" s="138"/>
      <c r="I239" s="190"/>
      <c r="J239" s="573"/>
      <c r="K239" s="546"/>
      <c r="L239" s="547"/>
      <c r="M239" s="196"/>
      <c r="N239" s="552"/>
      <c r="O239" s="196"/>
    </row>
    <row r="240" spans="1:26" ht="33" customHeight="1" thickBot="1">
      <c r="A240" s="455"/>
      <c r="B240" s="774" t="s">
        <v>267</v>
      </c>
      <c r="C240" s="774"/>
      <c r="D240" s="774"/>
      <c r="E240" s="774"/>
      <c r="F240" s="373" t="s">
        <v>104</v>
      </c>
      <c r="G240" s="138"/>
      <c r="I240" s="190"/>
      <c r="J240" s="573"/>
      <c r="K240" s="546"/>
      <c r="L240" s="547"/>
      <c r="M240" s="196"/>
      <c r="N240" s="552"/>
      <c r="O240" s="196"/>
      <c r="U240" s="75"/>
      <c r="V240" s="75"/>
      <c r="W240" s="75"/>
      <c r="X240" s="75"/>
      <c r="Y240" s="75"/>
      <c r="Z240" s="75"/>
    </row>
    <row r="241" spans="1:20" ht="34.5" customHeight="1">
      <c r="A241" s="439" t="s">
        <v>244</v>
      </c>
      <c r="B241" s="440" t="s">
        <v>7</v>
      </c>
      <c r="C241" s="441" t="s">
        <v>0</v>
      </c>
      <c r="D241" s="441" t="s">
        <v>8</v>
      </c>
      <c r="E241" s="456" t="s">
        <v>2</v>
      </c>
      <c r="F241" s="442" t="s">
        <v>9</v>
      </c>
      <c r="G241" s="138"/>
      <c r="I241" s="190"/>
      <c r="J241" s="545"/>
      <c r="K241" s="190"/>
      <c r="L241" s="174"/>
      <c r="M241" s="196"/>
      <c r="N241" s="174"/>
      <c r="O241" s="196"/>
      <c r="S241" s="75"/>
      <c r="T241" s="75"/>
    </row>
    <row r="242" spans="1:20" ht="15.75">
      <c r="A242" s="374"/>
      <c r="B242" s="330" t="s">
        <v>31</v>
      </c>
      <c r="C242" s="327" t="s">
        <v>32</v>
      </c>
      <c r="D242" s="331">
        <v>4</v>
      </c>
      <c r="E242" s="319"/>
      <c r="F242" s="403"/>
      <c r="G242" s="303"/>
      <c r="I242" s="539"/>
      <c r="J242" s="539"/>
      <c r="K242" s="198"/>
      <c r="L242" s="198"/>
      <c r="M242" s="539"/>
      <c r="N242" s="198"/>
      <c r="O242" s="200"/>
    </row>
    <row r="243" spans="1:20" ht="30">
      <c r="A243" s="457"/>
      <c r="B243" s="316" t="s">
        <v>53</v>
      </c>
      <c r="C243" s="458" t="s">
        <v>32</v>
      </c>
      <c r="D243" s="459">
        <v>1</v>
      </c>
      <c r="E243" s="319"/>
      <c r="F243" s="403"/>
      <c r="G243" s="303"/>
      <c r="I243" s="190"/>
      <c r="J243" s="190"/>
      <c r="K243" s="174"/>
      <c r="L243" s="174"/>
      <c r="M243" s="93"/>
      <c r="N243" s="174"/>
      <c r="O243" s="93"/>
    </row>
    <row r="244" spans="1:20" ht="15.75">
      <c r="A244" s="457"/>
      <c r="B244" s="330" t="s">
        <v>62</v>
      </c>
      <c r="C244" s="327" t="s">
        <v>4</v>
      </c>
      <c r="D244" s="331">
        <f>+D226</f>
        <v>1.2100000000000002</v>
      </c>
      <c r="E244" s="319"/>
      <c r="F244" s="403"/>
      <c r="G244" s="303"/>
      <c r="I244" s="539"/>
      <c r="J244" s="539"/>
      <c r="K244" s="198"/>
      <c r="L244" s="198"/>
      <c r="M244" s="539"/>
      <c r="N244" s="564"/>
      <c r="O244" s="198"/>
    </row>
    <row r="245" spans="1:20" ht="15.75">
      <c r="A245" s="374"/>
      <c r="B245" s="330" t="s">
        <v>56</v>
      </c>
      <c r="C245" s="327" t="s">
        <v>4</v>
      </c>
      <c r="D245" s="331">
        <f>+D227</f>
        <v>1.2100000000000002</v>
      </c>
      <c r="E245" s="319"/>
      <c r="F245" s="403"/>
      <c r="G245" s="303"/>
      <c r="I245" s="190"/>
      <c r="J245" s="565"/>
      <c r="K245" s="228"/>
      <c r="L245" s="293"/>
      <c r="M245" s="200"/>
      <c r="N245" s="295"/>
      <c r="O245" s="200"/>
    </row>
    <row r="246" spans="1:20">
      <c r="A246" s="374"/>
      <c r="B246" s="330" t="s">
        <v>35</v>
      </c>
      <c r="C246" s="327" t="s">
        <v>4</v>
      </c>
      <c r="D246" s="331">
        <f>+D245</f>
        <v>1.2100000000000002</v>
      </c>
      <c r="E246" s="319"/>
      <c r="F246" s="403"/>
      <c r="G246" s="303"/>
      <c r="I246" s="190"/>
      <c r="J246" s="545"/>
      <c r="K246" s="546"/>
      <c r="L246" s="547"/>
      <c r="M246" s="196"/>
      <c r="N246" s="552"/>
      <c r="O246" s="196"/>
    </row>
    <row r="247" spans="1:20">
      <c r="A247" s="457"/>
      <c r="B247" s="330" t="s">
        <v>67</v>
      </c>
      <c r="C247" s="327" t="s">
        <v>4</v>
      </c>
      <c r="D247" s="331">
        <f>+D229</f>
        <v>0.12800000000000003</v>
      </c>
      <c r="E247" s="319"/>
      <c r="F247" s="403"/>
      <c r="G247" s="303"/>
      <c r="I247" s="190"/>
      <c r="J247" s="545"/>
      <c r="K247" s="546"/>
      <c r="L247" s="547"/>
      <c r="M247" s="196"/>
      <c r="N247" s="552"/>
      <c r="O247" s="196"/>
    </row>
    <row r="248" spans="1:20">
      <c r="A248" s="374"/>
      <c r="B248" s="330" t="s">
        <v>36</v>
      </c>
      <c r="C248" s="327" t="s">
        <v>3</v>
      </c>
      <c r="D248" s="331">
        <f>1*0.8*4+1</f>
        <v>4.2</v>
      </c>
      <c r="E248" s="319"/>
      <c r="F248" s="403"/>
      <c r="G248" s="303"/>
      <c r="I248" s="190"/>
      <c r="J248" s="545"/>
      <c r="K248" s="546"/>
      <c r="L248" s="547"/>
      <c r="M248" s="196"/>
      <c r="N248" s="552"/>
      <c r="O248" s="196"/>
    </row>
    <row r="249" spans="1:20" ht="17.45" customHeight="1">
      <c r="A249" s="374"/>
      <c r="B249" s="316" t="s">
        <v>136</v>
      </c>
      <c r="C249" s="327" t="s">
        <v>28</v>
      </c>
      <c r="D249" s="331">
        <f>+D231</f>
        <v>12</v>
      </c>
      <c r="E249" s="319"/>
      <c r="F249" s="403"/>
      <c r="G249" s="303"/>
      <c r="I249" s="190"/>
      <c r="J249" s="545"/>
      <c r="K249" s="546"/>
      <c r="L249" s="547"/>
      <c r="M249" s="196"/>
      <c r="N249" s="552"/>
      <c r="O249" s="196"/>
    </row>
    <row r="250" spans="1:20" ht="27.75" customHeight="1">
      <c r="A250" s="457"/>
      <c r="B250" s="330" t="s">
        <v>58</v>
      </c>
      <c r="C250" s="327" t="s">
        <v>4</v>
      </c>
      <c r="D250" s="331">
        <f>+D232</f>
        <v>0.42429203673205107</v>
      </c>
      <c r="E250" s="319"/>
      <c r="F250" s="403"/>
      <c r="G250" s="303"/>
      <c r="I250" s="190"/>
      <c r="J250" s="545"/>
      <c r="K250" s="546"/>
      <c r="L250" s="547"/>
      <c r="M250" s="196"/>
      <c r="N250" s="552"/>
      <c r="O250" s="196"/>
    </row>
    <row r="251" spans="1:20" ht="36.75" customHeight="1">
      <c r="A251" s="374"/>
      <c r="B251" s="316" t="s">
        <v>68</v>
      </c>
      <c r="C251" s="317" t="s">
        <v>3</v>
      </c>
      <c r="D251" s="318">
        <f>1*2+0.8*2</f>
        <v>3.6</v>
      </c>
      <c r="E251" s="319"/>
      <c r="F251" s="403"/>
      <c r="G251" s="303"/>
      <c r="I251" s="190"/>
      <c r="J251" s="545"/>
      <c r="K251" s="546"/>
      <c r="L251" s="547"/>
      <c r="M251" s="196"/>
      <c r="N251" s="552"/>
      <c r="O251" s="196"/>
    </row>
    <row r="252" spans="1:20">
      <c r="A252" s="374"/>
      <c r="B252" s="460" t="s">
        <v>70</v>
      </c>
      <c r="C252" s="461" t="s">
        <v>27</v>
      </c>
      <c r="D252" s="462">
        <v>1</v>
      </c>
      <c r="E252" s="319"/>
      <c r="F252" s="403"/>
      <c r="G252" s="303"/>
      <c r="I252" s="190"/>
      <c r="J252" s="545"/>
      <c r="K252" s="546"/>
      <c r="L252" s="547"/>
      <c r="M252" s="196"/>
      <c r="N252" s="608"/>
      <c r="O252" s="196"/>
    </row>
    <row r="253" spans="1:20" ht="23.1" customHeight="1">
      <c r="A253" s="467"/>
      <c r="B253" s="423" t="s">
        <v>69</v>
      </c>
      <c r="C253" s="468" t="s">
        <v>37</v>
      </c>
      <c r="D253" s="469">
        <v>2</v>
      </c>
      <c r="E253" s="470"/>
      <c r="F253" s="403"/>
      <c r="G253" s="303"/>
      <c r="I253" s="190"/>
      <c r="J253" s="545"/>
      <c r="K253" s="546"/>
      <c r="L253" s="547"/>
      <c r="M253" s="196"/>
      <c r="N253" s="552"/>
      <c r="O253" s="196"/>
    </row>
    <row r="254" spans="1:20" ht="26.1" customHeight="1">
      <c r="A254" s="374"/>
      <c r="B254" s="332" t="s">
        <v>54</v>
      </c>
      <c r="C254" s="360" t="s">
        <v>3</v>
      </c>
      <c r="D254" s="418">
        <f>1.4*1.4</f>
        <v>1.9599999999999997</v>
      </c>
      <c r="E254" s="319"/>
      <c r="F254" s="403"/>
      <c r="G254" s="303"/>
      <c r="I254" s="190"/>
      <c r="J254" s="545"/>
      <c r="K254" s="546"/>
      <c r="L254" s="547"/>
      <c r="M254" s="196"/>
      <c r="N254" s="552"/>
      <c r="O254" s="196"/>
    </row>
    <row r="255" spans="1:20" ht="21" customHeight="1">
      <c r="A255" s="374"/>
      <c r="B255" s="419" t="s">
        <v>226</v>
      </c>
      <c r="C255" s="420" t="s">
        <v>4</v>
      </c>
      <c r="D255" s="418">
        <f>(1.8*1.8)*0.1</f>
        <v>0.32400000000000007</v>
      </c>
      <c r="E255" s="319"/>
      <c r="F255" s="403"/>
      <c r="G255" s="303"/>
      <c r="I255" s="190"/>
      <c r="J255" s="545"/>
      <c r="K255" s="546"/>
      <c r="L255" s="547"/>
      <c r="M255" s="196"/>
      <c r="N255" s="554"/>
      <c r="O255" s="196"/>
    </row>
    <row r="256" spans="1:20" ht="15.75">
      <c r="A256" s="374"/>
      <c r="B256" s="330" t="s">
        <v>59</v>
      </c>
      <c r="C256" s="360" t="s">
        <v>3</v>
      </c>
      <c r="D256" s="418">
        <f>(1.8*1.8)-(1.4*1.4)</f>
        <v>1.2800000000000005</v>
      </c>
      <c r="E256" s="329"/>
      <c r="F256" s="403"/>
      <c r="G256" s="303"/>
      <c r="I256" s="539"/>
      <c r="J256" s="539"/>
      <c r="K256" s="198"/>
      <c r="L256" s="198"/>
      <c r="M256" s="539"/>
      <c r="N256" s="198"/>
      <c r="O256" s="200"/>
    </row>
    <row r="257" spans="1:15" ht="26.1" customHeight="1" thickBot="1">
      <c r="A257" s="731" t="s">
        <v>5</v>
      </c>
      <c r="B257" s="732"/>
      <c r="C257" s="732"/>
      <c r="D257" s="732"/>
      <c r="E257" s="733"/>
      <c r="F257" s="503">
        <f>ROUND(SUM(F242:F256),0)</f>
        <v>0</v>
      </c>
      <c r="G257" s="138"/>
      <c r="I257" s="190"/>
      <c r="J257" s="190"/>
      <c r="K257" s="174"/>
      <c r="L257" s="174"/>
      <c r="M257" s="93"/>
      <c r="N257" s="174"/>
      <c r="O257" s="93"/>
    </row>
    <row r="258" spans="1:15" ht="24" customHeight="1">
      <c r="A258" s="292"/>
      <c r="B258" s="292"/>
      <c r="C258" s="292"/>
      <c r="D258" s="292"/>
      <c r="E258" s="292"/>
      <c r="F258" s="90"/>
      <c r="G258" s="138"/>
      <c r="I258" s="539"/>
      <c r="J258" s="539"/>
      <c r="K258" s="198"/>
      <c r="L258" s="198"/>
      <c r="M258" s="539"/>
      <c r="N258" s="564"/>
      <c r="O258" s="198"/>
    </row>
    <row r="259" spans="1:15" ht="31.5" customHeight="1" thickBot="1">
      <c r="G259" s="138"/>
      <c r="I259" s="190"/>
      <c r="J259" s="565"/>
      <c r="K259" s="228"/>
      <c r="L259" s="293"/>
      <c r="M259" s="200"/>
      <c r="N259" s="295"/>
      <c r="O259" s="200"/>
    </row>
    <row r="260" spans="1:15" ht="33" customHeight="1" thickBot="1">
      <c r="A260" s="471"/>
      <c r="B260" s="739" t="s">
        <v>250</v>
      </c>
      <c r="C260" s="740"/>
      <c r="D260" s="740"/>
      <c r="E260" s="740"/>
      <c r="F260" s="373" t="s">
        <v>104</v>
      </c>
      <c r="G260" s="138"/>
      <c r="I260" s="190"/>
      <c r="J260" s="613"/>
      <c r="K260" s="546"/>
      <c r="L260" s="547"/>
      <c r="M260" s="196"/>
      <c r="N260" s="552"/>
      <c r="O260" s="196"/>
    </row>
    <row r="261" spans="1:15" ht="26.1" customHeight="1">
      <c r="A261" s="311" t="s">
        <v>245</v>
      </c>
      <c r="B261" s="312" t="s">
        <v>7</v>
      </c>
      <c r="C261" s="313" t="s">
        <v>0</v>
      </c>
      <c r="D261" s="472" t="s">
        <v>8</v>
      </c>
      <c r="E261" s="313" t="s">
        <v>2</v>
      </c>
      <c r="F261" s="53" t="s">
        <v>9</v>
      </c>
      <c r="G261" s="138"/>
      <c r="I261" s="190"/>
      <c r="J261" s="573"/>
      <c r="K261" s="546"/>
      <c r="L261" s="547"/>
      <c r="M261" s="196"/>
      <c r="N261" s="552"/>
      <c r="O261" s="196"/>
    </row>
    <row r="262" spans="1:15">
      <c r="A262" s="315"/>
      <c r="B262" s="330" t="s">
        <v>65</v>
      </c>
      <c r="C262" s="360" t="s">
        <v>32</v>
      </c>
      <c r="D262" s="361">
        <f>2*2</f>
        <v>4</v>
      </c>
      <c r="E262" s="319"/>
      <c r="F262" s="403"/>
      <c r="G262" s="299"/>
      <c r="I262" s="190"/>
      <c r="J262" s="573"/>
      <c r="K262" s="546"/>
      <c r="L262" s="547"/>
      <c r="M262" s="196"/>
      <c r="N262" s="552"/>
      <c r="O262" s="196"/>
    </row>
    <row r="263" spans="1:15" ht="21.75" customHeight="1">
      <c r="A263" s="315"/>
      <c r="B263" s="330" t="s">
        <v>66</v>
      </c>
      <c r="C263" s="412" t="s">
        <v>3</v>
      </c>
      <c r="D263" s="361">
        <f>0.15*2</f>
        <v>0.3</v>
      </c>
      <c r="E263" s="319"/>
      <c r="F263" s="403"/>
      <c r="G263" s="299"/>
      <c r="I263" s="190"/>
      <c r="J263" s="545"/>
      <c r="K263" s="546"/>
      <c r="L263" s="547"/>
      <c r="M263" s="196"/>
      <c r="N263" s="552"/>
      <c r="O263" s="196"/>
    </row>
    <row r="264" spans="1:15" ht="25.5" customHeight="1">
      <c r="A264" s="315"/>
      <c r="B264" s="330" t="s">
        <v>62</v>
      </c>
      <c r="C264" s="327" t="s">
        <v>24</v>
      </c>
      <c r="D264" s="328">
        <f>2*0.3*0.15</f>
        <v>0.09</v>
      </c>
      <c r="E264" s="329"/>
      <c r="F264" s="403"/>
      <c r="G264" s="299"/>
      <c r="I264" s="190"/>
      <c r="J264" s="545"/>
      <c r="K264" s="546"/>
      <c r="L264" s="547"/>
      <c r="M264" s="196"/>
      <c r="N264" s="552"/>
      <c r="O264" s="196"/>
    </row>
    <row r="265" spans="1:15" ht="25.5" customHeight="1">
      <c r="A265" s="315"/>
      <c r="B265" s="330" t="s">
        <v>56</v>
      </c>
      <c r="C265" s="327" t="s">
        <v>24</v>
      </c>
      <c r="D265" s="328">
        <f>D263*0.12</f>
        <v>3.5999999999999997E-2</v>
      </c>
      <c r="E265" s="329"/>
      <c r="F265" s="403"/>
      <c r="G265" s="299"/>
      <c r="I265" s="190"/>
      <c r="J265" s="545"/>
      <c r="K265" s="546"/>
      <c r="L265" s="547"/>
      <c r="M265" s="196"/>
      <c r="N265" s="552"/>
      <c r="O265" s="196"/>
    </row>
    <row r="266" spans="1:15" ht="19.5" customHeight="1">
      <c r="A266" s="315"/>
      <c r="B266" s="330" t="s">
        <v>35</v>
      </c>
      <c r="C266" s="327" t="s">
        <v>24</v>
      </c>
      <c r="D266" s="328">
        <f>+D265</f>
        <v>3.5999999999999997E-2</v>
      </c>
      <c r="E266" s="329"/>
      <c r="F266" s="403"/>
      <c r="G266" s="299"/>
      <c r="I266" s="190"/>
      <c r="J266" s="545"/>
      <c r="K266" s="546"/>
      <c r="L266" s="547"/>
      <c r="M266" s="196"/>
      <c r="N266" s="552"/>
      <c r="O266" s="196"/>
    </row>
    <row r="267" spans="1:15" ht="21.95" customHeight="1">
      <c r="A267" s="315"/>
      <c r="B267" s="330" t="s">
        <v>80</v>
      </c>
      <c r="C267" s="325" t="s">
        <v>24</v>
      </c>
      <c r="D267" s="328">
        <f>2*0.3*0.15</f>
        <v>0.09</v>
      </c>
      <c r="E267" s="329"/>
      <c r="F267" s="403"/>
      <c r="G267" s="299"/>
      <c r="I267" s="190"/>
      <c r="J267" s="614"/>
      <c r="K267" s="615"/>
      <c r="L267" s="592"/>
      <c r="M267" s="616"/>
      <c r="N267" s="617"/>
      <c r="O267" s="616"/>
    </row>
    <row r="268" spans="1:15" ht="21.6" customHeight="1">
      <c r="A268" s="315"/>
      <c r="B268" s="330" t="s">
        <v>67</v>
      </c>
      <c r="C268" s="327" t="s">
        <v>24</v>
      </c>
      <c r="D268" s="328">
        <f>+D263*0.1</f>
        <v>0.03</v>
      </c>
      <c r="E268" s="329"/>
      <c r="F268" s="403"/>
      <c r="G268" s="299"/>
      <c r="I268" s="190"/>
      <c r="J268" s="614"/>
      <c r="K268" s="615"/>
      <c r="L268" s="592"/>
      <c r="M268" s="616"/>
      <c r="N268" s="615"/>
      <c r="O268" s="616"/>
    </row>
    <row r="269" spans="1:15" ht="30.6" customHeight="1">
      <c r="A269" s="315"/>
      <c r="B269" s="330" t="s">
        <v>231</v>
      </c>
      <c r="C269" s="327" t="s">
        <v>18</v>
      </c>
      <c r="D269" s="328">
        <f>2*0.15</f>
        <v>0.3</v>
      </c>
      <c r="E269" s="329"/>
      <c r="F269" s="403"/>
      <c r="G269" s="299"/>
      <c r="I269" s="539"/>
      <c r="J269" s="539"/>
      <c r="K269" s="198"/>
      <c r="L269" s="198"/>
      <c r="M269" s="539"/>
      <c r="N269" s="198"/>
      <c r="O269" s="200"/>
    </row>
    <row r="270" spans="1:15" ht="21.6" customHeight="1">
      <c r="A270" s="315"/>
      <c r="B270" s="330" t="s">
        <v>90</v>
      </c>
      <c r="C270" s="327" t="s">
        <v>23</v>
      </c>
      <c r="D270" s="328">
        <v>2</v>
      </c>
      <c r="E270" s="329"/>
      <c r="F270" s="403"/>
      <c r="G270" s="299"/>
      <c r="I270" s="190"/>
      <c r="J270" s="190"/>
      <c r="K270" s="174"/>
      <c r="L270" s="174"/>
      <c r="M270" s="93"/>
      <c r="N270" s="174"/>
      <c r="O270" s="93"/>
    </row>
    <row r="271" spans="1:15" ht="21" customHeight="1">
      <c r="A271" s="325"/>
      <c r="B271" s="473" t="s">
        <v>57</v>
      </c>
      <c r="C271" s="325" t="s">
        <v>26</v>
      </c>
      <c r="D271" s="326">
        <v>1</v>
      </c>
      <c r="E271" s="319"/>
      <c r="F271" s="403"/>
      <c r="G271" s="138"/>
      <c r="I271" s="190"/>
      <c r="J271" s="190"/>
      <c r="K271" s="174"/>
      <c r="L271" s="174"/>
      <c r="M271" s="93"/>
      <c r="N271" s="174"/>
      <c r="O271" s="93"/>
    </row>
    <row r="272" spans="1:15" ht="18.95" customHeight="1">
      <c r="A272" s="474"/>
      <c r="B272" s="316"/>
      <c r="C272" s="474"/>
      <c r="D272" s="475"/>
      <c r="E272" s="474"/>
      <c r="F272" s="476"/>
      <c r="G272" s="138"/>
      <c r="I272" s="539"/>
      <c r="J272" s="539"/>
      <c r="K272" s="198"/>
      <c r="L272" s="198"/>
      <c r="M272" s="539"/>
      <c r="N272" s="564"/>
      <c r="O272" s="198"/>
    </row>
    <row r="273" spans="1:15" ht="32.25" customHeight="1" thickBot="1">
      <c r="A273" s="477" t="s">
        <v>5</v>
      </c>
      <c r="B273" s="478"/>
      <c r="C273" s="478"/>
      <c r="D273" s="478"/>
      <c r="E273" s="479"/>
      <c r="F273" s="480">
        <f>ROUND(SUM(F262:F271),0)</f>
        <v>0</v>
      </c>
      <c r="G273" s="138"/>
      <c r="I273" s="190"/>
      <c r="J273" s="565"/>
      <c r="K273" s="228"/>
      <c r="L273" s="293"/>
      <c r="M273" s="200"/>
      <c r="N273" s="295"/>
      <c r="O273" s="200"/>
    </row>
    <row r="274" spans="1:15" ht="31.5" customHeight="1" thickBot="1">
      <c r="A274" s="300"/>
      <c r="B274" s="300"/>
      <c r="C274" s="300"/>
      <c r="D274" s="300"/>
      <c r="E274" s="300"/>
      <c r="F274" s="304"/>
      <c r="G274" s="138"/>
      <c r="I274" s="190"/>
      <c r="J274" s="573"/>
      <c r="K274" s="546"/>
      <c r="L274" s="547"/>
      <c r="M274" s="196"/>
      <c r="N274" s="552"/>
      <c r="O274" s="196"/>
    </row>
    <row r="275" spans="1:15" ht="30.75" customHeight="1" thickBot="1">
      <c r="A275" s="471"/>
      <c r="B275" s="737" t="s">
        <v>262</v>
      </c>
      <c r="C275" s="738"/>
      <c r="D275" s="738"/>
      <c r="E275" s="738"/>
      <c r="F275" s="373" t="s">
        <v>104</v>
      </c>
      <c r="G275" s="138"/>
      <c r="I275" s="190"/>
      <c r="J275" s="573"/>
      <c r="K275" s="546"/>
      <c r="L275" s="547"/>
      <c r="M275" s="196"/>
      <c r="N275" s="552"/>
      <c r="O275" s="196"/>
    </row>
    <row r="276" spans="1:15" ht="15.75">
      <c r="A276" s="311" t="s">
        <v>246</v>
      </c>
      <c r="B276" s="312" t="s">
        <v>7</v>
      </c>
      <c r="C276" s="313" t="s">
        <v>0</v>
      </c>
      <c r="D276" s="472" t="s">
        <v>8</v>
      </c>
      <c r="E276" s="313" t="s">
        <v>2</v>
      </c>
      <c r="F276" s="53" t="s">
        <v>9</v>
      </c>
      <c r="G276" s="138"/>
      <c r="I276" s="190"/>
      <c r="J276" s="573"/>
      <c r="K276" s="546"/>
      <c r="L276" s="547"/>
      <c r="M276" s="196"/>
      <c r="N276" s="552"/>
      <c r="O276" s="196"/>
    </row>
    <row r="277" spans="1:15" ht="24.6" customHeight="1">
      <c r="A277" s="315"/>
      <c r="B277" s="330" t="s">
        <v>65</v>
      </c>
      <c r="C277" s="360" t="s">
        <v>32</v>
      </c>
      <c r="D277" s="361">
        <v>5</v>
      </c>
      <c r="E277" s="319"/>
      <c r="F277" s="403"/>
      <c r="G277" s="138"/>
      <c r="I277" s="190"/>
      <c r="J277" s="573"/>
      <c r="K277" s="546"/>
      <c r="L277" s="547"/>
      <c r="M277" s="196"/>
      <c r="N277" s="552"/>
      <c r="O277" s="196"/>
    </row>
    <row r="278" spans="1:15" ht="28.5" customHeight="1">
      <c r="A278" s="315"/>
      <c r="B278" s="330" t="s">
        <v>66</v>
      </c>
      <c r="C278" s="412" t="s">
        <v>3</v>
      </c>
      <c r="D278" s="361">
        <f>0.15*5</f>
        <v>0.75</v>
      </c>
      <c r="E278" s="319"/>
      <c r="F278" s="403"/>
      <c r="G278" s="138"/>
      <c r="I278" s="190"/>
      <c r="J278" s="545"/>
      <c r="K278" s="190"/>
      <c r="L278" s="557"/>
      <c r="M278" s="196"/>
      <c r="N278" s="174"/>
      <c r="O278" s="196"/>
    </row>
    <row r="279" spans="1:15" ht="33.6" customHeight="1">
      <c r="A279" s="315"/>
      <c r="B279" s="330" t="s">
        <v>62</v>
      </c>
      <c r="C279" s="327" t="s">
        <v>24</v>
      </c>
      <c r="D279" s="328">
        <f>5*0.3*0.15</f>
        <v>0.22499999999999998</v>
      </c>
      <c r="E279" s="329"/>
      <c r="F279" s="403"/>
      <c r="G279" s="138"/>
      <c r="I279" s="539"/>
      <c r="J279" s="539"/>
      <c r="K279" s="198"/>
      <c r="L279" s="198"/>
      <c r="M279" s="539"/>
      <c r="N279" s="198"/>
      <c r="O279" s="200"/>
    </row>
    <row r="280" spans="1:15" ht="23.45" customHeight="1">
      <c r="A280" s="315"/>
      <c r="B280" s="330" t="s">
        <v>56</v>
      </c>
      <c r="C280" s="327" t="s">
        <v>24</v>
      </c>
      <c r="D280" s="328">
        <f>D278*0.12+(5*0.1*0.15)</f>
        <v>0.16499999999999998</v>
      </c>
      <c r="E280" s="329"/>
      <c r="F280" s="403"/>
      <c r="G280" s="138"/>
      <c r="I280" s="190"/>
      <c r="J280" s="190"/>
      <c r="K280" s="174"/>
      <c r="L280" s="174"/>
      <c r="M280" s="93"/>
      <c r="N280" s="174"/>
      <c r="O280" s="93"/>
    </row>
    <row r="281" spans="1:15" ht="23.45" customHeight="1">
      <c r="A281" s="315"/>
      <c r="B281" s="330" t="s">
        <v>35</v>
      </c>
      <c r="C281" s="327" t="s">
        <v>24</v>
      </c>
      <c r="D281" s="328">
        <f>+D280</f>
        <v>0.16499999999999998</v>
      </c>
      <c r="E281" s="329"/>
      <c r="F281" s="403"/>
      <c r="G281" s="138"/>
      <c r="I281" s="539"/>
      <c r="J281" s="539"/>
      <c r="K281" s="198"/>
      <c r="L281" s="198"/>
      <c r="M281" s="539"/>
      <c r="N281" s="564"/>
      <c r="O281" s="198"/>
    </row>
    <row r="282" spans="1:15" ht="31.5" customHeight="1">
      <c r="A282" s="315"/>
      <c r="B282" s="330" t="s">
        <v>80</v>
      </c>
      <c r="C282" s="327" t="s">
        <v>24</v>
      </c>
      <c r="D282" s="328">
        <f>25*0.3*0.15</f>
        <v>1.125</v>
      </c>
      <c r="E282" s="329"/>
      <c r="F282" s="403"/>
      <c r="G282" s="138"/>
      <c r="I282" s="190"/>
      <c r="J282" s="565"/>
      <c r="K282" s="228"/>
      <c r="L282" s="293"/>
      <c r="M282" s="200"/>
      <c r="N282" s="295"/>
      <c r="O282" s="200"/>
    </row>
    <row r="283" spans="1:15" ht="28.5" customHeight="1">
      <c r="A283" s="315"/>
      <c r="B283" s="330" t="s">
        <v>67</v>
      </c>
      <c r="C283" s="327" t="s">
        <v>24</v>
      </c>
      <c r="D283" s="328">
        <f>+D278*0.1</f>
        <v>7.5000000000000011E-2</v>
      </c>
      <c r="E283" s="329"/>
      <c r="F283" s="403"/>
      <c r="G283" s="138"/>
      <c r="I283" s="190"/>
      <c r="J283" s="573"/>
      <c r="K283" s="546"/>
      <c r="L283" s="547"/>
      <c r="M283" s="196"/>
      <c r="N283" s="552"/>
      <c r="O283" s="196"/>
    </row>
    <row r="284" spans="1:15" ht="35.450000000000003" customHeight="1">
      <c r="A284" s="315"/>
      <c r="B284" s="330" t="s">
        <v>231</v>
      </c>
      <c r="C284" s="327" t="s">
        <v>18</v>
      </c>
      <c r="D284" s="328">
        <f>5*0.15</f>
        <v>0.75</v>
      </c>
      <c r="E284" s="329"/>
      <c r="F284" s="403"/>
      <c r="G284" s="138"/>
      <c r="I284" s="190"/>
      <c r="J284" s="613"/>
      <c r="K284" s="546"/>
      <c r="L284" s="547"/>
      <c r="M284" s="196"/>
      <c r="N284" s="552"/>
      <c r="O284" s="196"/>
    </row>
    <row r="285" spans="1:15" ht="28.5" customHeight="1">
      <c r="A285" s="315"/>
      <c r="B285" s="330" t="s">
        <v>90</v>
      </c>
      <c r="C285" s="327" t="s">
        <v>23</v>
      </c>
      <c r="D285" s="328">
        <v>5</v>
      </c>
      <c r="E285" s="329"/>
      <c r="F285" s="403"/>
      <c r="G285" s="138"/>
      <c r="I285" s="190"/>
      <c r="J285" s="573"/>
      <c r="K285" s="546"/>
      <c r="L285" s="547"/>
      <c r="M285" s="196"/>
      <c r="N285" s="552"/>
      <c r="O285" s="196"/>
    </row>
    <row r="286" spans="1:15" ht="24.6" customHeight="1">
      <c r="A286" s="325"/>
      <c r="B286" s="381" t="s">
        <v>57</v>
      </c>
      <c r="C286" s="327" t="s">
        <v>26</v>
      </c>
      <c r="D286" s="328">
        <v>1</v>
      </c>
      <c r="E286" s="319"/>
      <c r="F286" s="403"/>
      <c r="G286" s="138"/>
      <c r="I286" s="190"/>
      <c r="J286" s="573"/>
      <c r="K286" s="546"/>
      <c r="L286" s="547"/>
      <c r="M286" s="196"/>
      <c r="N286" s="552"/>
      <c r="O286" s="196"/>
    </row>
    <row r="287" spans="1:15" ht="18" customHeight="1">
      <c r="A287" s="474"/>
      <c r="B287" s="316"/>
      <c r="C287" s="474"/>
      <c r="D287" s="475"/>
      <c r="E287" s="474"/>
      <c r="F287" s="476"/>
      <c r="G287" s="138"/>
      <c r="I287" s="190"/>
      <c r="J287" s="573"/>
      <c r="K287" s="546"/>
      <c r="L287" s="547"/>
      <c r="M287" s="196"/>
      <c r="N287" s="552"/>
      <c r="O287" s="196"/>
    </row>
    <row r="288" spans="1:15" ht="30.95" customHeight="1" thickBot="1">
      <c r="A288" s="477" t="s">
        <v>5</v>
      </c>
      <c r="B288" s="478"/>
      <c r="C288" s="478"/>
      <c r="D288" s="478"/>
      <c r="E288" s="479"/>
      <c r="F288" s="480">
        <f>ROUND(SUM(F277:F286),0)</f>
        <v>0</v>
      </c>
      <c r="G288" s="138"/>
      <c r="I288" s="190"/>
      <c r="J288" s="573"/>
      <c r="K288" s="546"/>
      <c r="L288" s="547"/>
      <c r="M288" s="196"/>
      <c r="N288" s="552"/>
      <c r="O288" s="196"/>
    </row>
    <row r="289" spans="1:28" ht="24.95" customHeight="1" thickBot="1">
      <c r="A289" s="300"/>
      <c r="B289" s="300"/>
      <c r="C289" s="300"/>
      <c r="D289" s="300"/>
      <c r="E289" s="300"/>
      <c r="F289" s="304"/>
      <c r="G289" s="138"/>
      <c r="I289" s="190"/>
      <c r="J289" s="545"/>
      <c r="K289" s="190"/>
      <c r="L289" s="557"/>
      <c r="M289" s="196"/>
      <c r="N289" s="174"/>
      <c r="O289" s="196"/>
    </row>
    <row r="290" spans="1:28" ht="36" customHeight="1" thickBot="1">
      <c r="A290" s="471"/>
      <c r="B290" s="739" t="s">
        <v>259</v>
      </c>
      <c r="C290" s="740"/>
      <c r="D290" s="740"/>
      <c r="E290" s="740"/>
      <c r="F290" s="373" t="s">
        <v>104</v>
      </c>
      <c r="G290" s="138"/>
      <c r="I290" s="539"/>
      <c r="J290" s="539"/>
      <c r="K290" s="198"/>
      <c r="L290" s="198"/>
      <c r="M290" s="539"/>
      <c r="N290" s="198"/>
      <c r="O290" s="200"/>
    </row>
    <row r="291" spans="1:28" ht="26.1" customHeight="1">
      <c r="A291" s="311" t="s">
        <v>247</v>
      </c>
      <c r="B291" s="312" t="s">
        <v>7</v>
      </c>
      <c r="C291" s="313" t="s">
        <v>0</v>
      </c>
      <c r="D291" s="472" t="s">
        <v>8</v>
      </c>
      <c r="E291" s="313" t="s">
        <v>2</v>
      </c>
      <c r="F291" s="53" t="s">
        <v>9</v>
      </c>
      <c r="G291" s="138"/>
      <c r="I291" s="190"/>
      <c r="J291" s="190"/>
      <c r="K291" s="174"/>
      <c r="L291" s="174"/>
      <c r="M291" s="93"/>
      <c r="N291" s="174"/>
      <c r="O291" s="93"/>
    </row>
    <row r="292" spans="1:28" ht="26.45" customHeight="1">
      <c r="A292" s="315"/>
      <c r="B292" s="330" t="s">
        <v>65</v>
      </c>
      <c r="C292" s="360" t="s">
        <v>23</v>
      </c>
      <c r="D292" s="361">
        <v>4</v>
      </c>
      <c r="E292" s="319"/>
      <c r="F292" s="403"/>
      <c r="G292" s="138"/>
      <c r="I292" s="190"/>
      <c r="J292" s="190"/>
      <c r="K292" s="174"/>
      <c r="L292" s="174"/>
      <c r="M292" s="93"/>
      <c r="N292" s="174"/>
      <c r="O292" s="93"/>
    </row>
    <row r="293" spans="1:28" ht="15.75">
      <c r="A293" s="315"/>
      <c r="B293" s="330" t="s">
        <v>66</v>
      </c>
      <c r="C293" s="412" t="s">
        <v>3</v>
      </c>
      <c r="D293" s="361">
        <f>2*0.15</f>
        <v>0.3</v>
      </c>
      <c r="E293" s="319"/>
      <c r="F293" s="403"/>
      <c r="G293" s="138"/>
      <c r="I293" s="190"/>
      <c r="J293" s="190"/>
      <c r="K293" s="174"/>
      <c r="L293" s="174"/>
      <c r="M293" s="93"/>
      <c r="N293" s="174"/>
      <c r="O293" s="93"/>
      <c r="S293" s="184" t="s">
        <v>108</v>
      </c>
      <c r="T293" s="185"/>
      <c r="U293" s="185"/>
      <c r="V293" s="185"/>
      <c r="W293" s="81" t="s">
        <v>110</v>
      </c>
      <c r="X293" s="82" t="s">
        <v>111</v>
      </c>
      <c r="Y293" s="82" t="s">
        <v>112</v>
      </c>
      <c r="Z293" s="185"/>
      <c r="AA293" s="186"/>
      <c r="AB293" s="32"/>
    </row>
    <row r="294" spans="1:28" ht="15.75">
      <c r="A294" s="315"/>
      <c r="B294" s="330" t="s">
        <v>62</v>
      </c>
      <c r="C294" s="327" t="s">
        <v>24</v>
      </c>
      <c r="D294" s="328">
        <f>2*0.15*0.3</f>
        <v>0.09</v>
      </c>
      <c r="E294" s="329"/>
      <c r="F294" s="403"/>
      <c r="G294" s="138"/>
      <c r="I294" s="539"/>
      <c r="J294" s="539"/>
      <c r="K294" s="198"/>
      <c r="L294" s="198"/>
      <c r="M294" s="539"/>
      <c r="N294" s="564"/>
      <c r="O294" s="198"/>
      <c r="S294" s="752" t="s">
        <v>46</v>
      </c>
      <c r="T294" s="753"/>
      <c r="U294" s="765"/>
      <c r="V294" s="81" t="s">
        <v>109</v>
      </c>
      <c r="W294" s="83">
        <f>ROUND(((1.5/0.15)+(1.84/0.15)),0)</f>
        <v>22</v>
      </c>
      <c r="X294" s="83">
        <v>2</v>
      </c>
      <c r="Y294" s="84">
        <v>0.99399999999999999</v>
      </c>
      <c r="Z294" s="82" t="s">
        <v>113</v>
      </c>
      <c r="AA294" s="81" t="s">
        <v>114</v>
      </c>
      <c r="AB294" s="32"/>
    </row>
    <row r="295" spans="1:28" ht="30" customHeight="1">
      <c r="A295" s="315"/>
      <c r="B295" s="330" t="s">
        <v>56</v>
      </c>
      <c r="C295" s="327" t="s">
        <v>24</v>
      </c>
      <c r="D295" s="328">
        <f>D293*0.12+(2*0.1*0.15)</f>
        <v>6.6000000000000003E-2</v>
      </c>
      <c r="E295" s="329"/>
      <c r="F295" s="403"/>
      <c r="G295" s="138"/>
      <c r="I295" s="93"/>
      <c r="J295" s="565"/>
      <c r="K295" s="228"/>
      <c r="L295" s="228"/>
      <c r="M295" s="618"/>
      <c r="N295" s="619"/>
      <c r="O295" s="304"/>
      <c r="S295" s="766" t="s">
        <v>128</v>
      </c>
      <c r="T295" s="156"/>
      <c r="U295" s="81" t="s">
        <v>129</v>
      </c>
      <c r="V295" s="83">
        <v>1.9</v>
      </c>
      <c r="W295" s="83">
        <f>ROUND((1.85/0.15),0)</f>
        <v>12</v>
      </c>
      <c r="X295" s="83">
        <v>2</v>
      </c>
      <c r="Y295" s="100">
        <v>0.56000000000000005</v>
      </c>
      <c r="Z295" s="83">
        <f>+PRODUCT(Q367:R367)</f>
        <v>0</v>
      </c>
      <c r="AA295" s="43" t="s">
        <v>117</v>
      </c>
      <c r="AB295" s="32"/>
    </row>
    <row r="296" spans="1:28" ht="21.95" customHeight="1">
      <c r="A296" s="315"/>
      <c r="B296" s="330" t="s">
        <v>35</v>
      </c>
      <c r="C296" s="327" t="s">
        <v>24</v>
      </c>
      <c r="D296" s="328">
        <f>+D295</f>
        <v>6.6000000000000003E-2</v>
      </c>
      <c r="E296" s="329"/>
      <c r="F296" s="403"/>
      <c r="G296" s="138"/>
      <c r="I296" s="93"/>
      <c r="J296" s="620"/>
      <c r="K296" s="600"/>
      <c r="L296" s="621"/>
      <c r="M296" s="196"/>
      <c r="N296" s="554"/>
      <c r="O296" s="196"/>
      <c r="S296" s="766"/>
      <c r="T296" s="156"/>
      <c r="U296" s="81" t="s">
        <v>120</v>
      </c>
      <c r="V296" s="83">
        <v>1.5</v>
      </c>
      <c r="W296" s="83">
        <f>ROUND((1.85/0.15),0)</f>
        <v>12</v>
      </c>
      <c r="X296" s="83">
        <v>2</v>
      </c>
      <c r="Y296" s="100">
        <v>0.56000000000000005</v>
      </c>
      <c r="Z296" s="83">
        <f>+PRODUCT(Q368:R368)</f>
        <v>0</v>
      </c>
      <c r="AA296" s="54" t="s">
        <v>130</v>
      </c>
      <c r="AB296" s="32"/>
    </row>
    <row r="297" spans="1:28" ht="15.75">
      <c r="A297" s="315"/>
      <c r="B297" s="330" t="s">
        <v>80</v>
      </c>
      <c r="C297" s="325" t="s">
        <v>24</v>
      </c>
      <c r="D297" s="328">
        <f>0.15*0.1*2</f>
        <v>0.03</v>
      </c>
      <c r="E297" s="329"/>
      <c r="F297" s="403"/>
      <c r="G297" s="138"/>
      <c r="I297" s="93"/>
      <c r="J297" s="620"/>
      <c r="K297" s="600"/>
      <c r="L297" s="546"/>
      <c r="M297" s="196"/>
      <c r="N297" s="622"/>
      <c r="O297" s="196"/>
      <c r="S297" s="766"/>
      <c r="T297" s="156"/>
      <c r="U297" s="81" t="s">
        <v>120</v>
      </c>
      <c r="V297" s="83">
        <v>1.84</v>
      </c>
      <c r="W297" s="83">
        <f>ROUND((1.84/0.15),0)</f>
        <v>12</v>
      </c>
      <c r="X297" s="83">
        <v>2</v>
      </c>
      <c r="Y297" s="83">
        <v>2.2349999999999999</v>
      </c>
      <c r="Z297" s="83">
        <f>+PRODUCT(Q369:R369)</f>
        <v>0</v>
      </c>
      <c r="AA297" s="54" t="s">
        <v>130</v>
      </c>
      <c r="AB297" s="32"/>
    </row>
    <row r="298" spans="1:28" ht="15.75">
      <c r="A298" s="315"/>
      <c r="B298" s="330" t="s">
        <v>67</v>
      </c>
      <c r="C298" s="327" t="s">
        <v>24</v>
      </c>
      <c r="D298" s="328">
        <f>+D293*0.1</f>
        <v>0.03</v>
      </c>
      <c r="E298" s="329"/>
      <c r="F298" s="403"/>
      <c r="G298" s="138"/>
      <c r="I298" s="93"/>
      <c r="J298" s="620"/>
      <c r="K298" s="600"/>
      <c r="L298" s="546"/>
      <c r="M298" s="196"/>
      <c r="N298" s="622"/>
      <c r="O298" s="196"/>
      <c r="S298" s="766" t="s">
        <v>115</v>
      </c>
      <c r="T298" s="156"/>
      <c r="U298" s="81" t="s">
        <v>116</v>
      </c>
      <c r="V298" s="66">
        <v>1.84</v>
      </c>
      <c r="W298" s="83">
        <v>4</v>
      </c>
      <c r="X298" s="83">
        <v>1</v>
      </c>
      <c r="Y298" s="84">
        <v>0.99399999999999999</v>
      </c>
      <c r="Z298" s="83">
        <f>+PRODUCT(Q370:R370)</f>
        <v>0</v>
      </c>
      <c r="AA298" s="43" t="s">
        <v>131</v>
      </c>
      <c r="AB298" s="32"/>
    </row>
    <row r="299" spans="1:28" ht="30">
      <c r="A299" s="315"/>
      <c r="B299" s="330" t="s">
        <v>231</v>
      </c>
      <c r="C299" s="327" t="s">
        <v>18</v>
      </c>
      <c r="D299" s="328">
        <f>+D293</f>
        <v>0.3</v>
      </c>
      <c r="E299" s="329"/>
      <c r="F299" s="403"/>
      <c r="G299" s="138"/>
      <c r="I299" s="93"/>
      <c r="J299" s="620"/>
      <c r="K299" s="600"/>
      <c r="L299" s="546"/>
      <c r="M299" s="196"/>
      <c r="N299" s="622"/>
      <c r="O299" s="196"/>
      <c r="S299" s="766"/>
      <c r="T299" s="156"/>
      <c r="U299" s="81" t="s">
        <v>118</v>
      </c>
      <c r="V299" s="83">
        <v>1</v>
      </c>
      <c r="W299" s="101">
        <v>4</v>
      </c>
      <c r="X299" s="83">
        <v>1</v>
      </c>
      <c r="Y299" s="102">
        <v>1.552</v>
      </c>
      <c r="Z299" s="83">
        <f>+PRODUCT(Q371:R371)</f>
        <v>0</v>
      </c>
      <c r="AA299" s="43" t="s">
        <v>117</v>
      </c>
      <c r="AB299" s="61">
        <f>1.84*1.84</f>
        <v>3.3856000000000002</v>
      </c>
    </row>
    <row r="300" spans="1:28" ht="17.100000000000001" customHeight="1">
      <c r="A300" s="481"/>
      <c r="B300" s="460" t="s">
        <v>252</v>
      </c>
      <c r="C300" s="482" t="s">
        <v>23</v>
      </c>
      <c r="D300" s="483">
        <v>2</v>
      </c>
      <c r="E300" s="470"/>
      <c r="F300" s="403"/>
      <c r="G300" s="138"/>
      <c r="I300" s="93"/>
      <c r="J300" s="623"/>
      <c r="K300" s="600"/>
      <c r="L300" s="624"/>
      <c r="M300" s="196"/>
      <c r="N300" s="554"/>
      <c r="O300" s="196"/>
      <c r="S300" s="766"/>
      <c r="T300" s="158"/>
      <c r="U300" s="79" t="s">
        <v>132</v>
      </c>
      <c r="V300" s="101">
        <v>1.8</v>
      </c>
      <c r="W300" s="97"/>
      <c r="X300" s="97"/>
      <c r="Y300" s="98"/>
      <c r="Z300" s="83">
        <f t="shared" ref="Z300" si="2">+PRODUCT(Q372:R372)</f>
        <v>0</v>
      </c>
      <c r="AA300" s="103" t="s">
        <v>133</v>
      </c>
      <c r="AB300" s="61">
        <f>0.25*3.14</f>
        <v>0.78500000000000003</v>
      </c>
    </row>
    <row r="301" spans="1:28" ht="15.75">
      <c r="A301" s="325"/>
      <c r="B301" s="381" t="s">
        <v>57</v>
      </c>
      <c r="C301" s="325" t="s">
        <v>26</v>
      </c>
      <c r="D301" s="326">
        <v>1</v>
      </c>
      <c r="E301" s="319"/>
      <c r="F301" s="403"/>
      <c r="G301" s="138"/>
      <c r="I301" s="93"/>
      <c r="J301" s="625"/>
      <c r="K301" s="600"/>
      <c r="L301" s="621"/>
      <c r="M301" s="571"/>
      <c r="N301" s="246"/>
      <c r="O301" s="603"/>
      <c r="S301" s="766"/>
      <c r="T301" s="158"/>
      <c r="U301" s="96" t="s">
        <v>126</v>
      </c>
      <c r="V301" s="97"/>
      <c r="W301" s="85"/>
      <c r="X301" s="85"/>
      <c r="Y301" s="80"/>
      <c r="Z301" s="83">
        <f>-(AB300*Z298)/AB299</f>
        <v>0</v>
      </c>
      <c r="AA301" s="54"/>
      <c r="AB301" s="32"/>
    </row>
    <row r="302" spans="1:28" ht="15.75">
      <c r="A302" s="474"/>
      <c r="B302" s="316"/>
      <c r="C302" s="474"/>
      <c r="D302" s="475"/>
      <c r="E302" s="474"/>
      <c r="F302" s="476"/>
      <c r="G302" s="138"/>
      <c r="I302" s="93"/>
      <c r="J302" s="626"/>
      <c r="K302" s="600"/>
      <c r="L302" s="627"/>
      <c r="M302" s="609"/>
      <c r="N302" s="554"/>
      <c r="O302" s="196"/>
      <c r="S302" s="79" t="s">
        <v>113</v>
      </c>
      <c r="T302" s="154"/>
      <c r="U302" s="85"/>
      <c r="V302" s="85"/>
      <c r="W302" s="283"/>
      <c r="X302" s="283"/>
      <c r="Y302" s="284"/>
      <c r="Z302" s="83">
        <f>SUM(Z295:Z301)</f>
        <v>0</v>
      </c>
      <c r="AA302" s="66"/>
      <c r="AB302" s="32"/>
    </row>
    <row r="303" spans="1:28" ht="16.5" thickBot="1">
      <c r="A303" s="477" t="s">
        <v>5</v>
      </c>
      <c r="B303" s="478"/>
      <c r="C303" s="478"/>
      <c r="D303" s="478"/>
      <c r="E303" s="479"/>
      <c r="F303" s="480">
        <f>ROUND(SUM(F292:F301),0)</f>
        <v>0</v>
      </c>
      <c r="G303" s="138"/>
      <c r="I303" s="539"/>
      <c r="J303" s="539"/>
      <c r="K303" s="198"/>
      <c r="L303" s="198"/>
      <c r="M303" s="539"/>
      <c r="N303" s="198"/>
      <c r="O303" s="200"/>
      <c r="S303" s="86"/>
      <c r="T303" s="86"/>
      <c r="U303" s="72"/>
      <c r="V303" s="72"/>
      <c r="W303" s="72"/>
      <c r="X303" s="72"/>
      <c r="Y303" s="72"/>
      <c r="Z303" s="72"/>
      <c r="AA303" s="73"/>
      <c r="AB303" s="32"/>
    </row>
    <row r="304" spans="1:28" ht="37.5" customHeight="1" thickBot="1">
      <c r="A304" s="273"/>
      <c r="B304" s="274"/>
      <c r="C304" s="273"/>
      <c r="D304" s="285"/>
      <c r="E304" s="273"/>
      <c r="F304" s="33"/>
      <c r="G304" s="138"/>
      <c r="I304" s="93"/>
      <c r="J304" s="227"/>
      <c r="K304" s="228"/>
      <c r="L304" s="293"/>
      <c r="M304" s="200"/>
      <c r="N304" s="295"/>
      <c r="O304" s="229"/>
      <c r="S304" s="72"/>
      <c r="T304" s="72"/>
      <c r="U304" s="72"/>
      <c r="V304" s="72"/>
      <c r="W304" s="72"/>
      <c r="X304" s="72"/>
      <c r="Y304" s="72"/>
      <c r="Z304" s="72"/>
      <c r="AA304" s="87"/>
      <c r="AB304" s="32"/>
    </row>
    <row r="305" spans="1:28" ht="31.5" customHeight="1" thickBot="1">
      <c r="A305" s="471"/>
      <c r="B305" s="737" t="s">
        <v>255</v>
      </c>
      <c r="C305" s="738"/>
      <c r="D305" s="738"/>
      <c r="E305" s="738"/>
      <c r="F305" s="373" t="s">
        <v>104</v>
      </c>
      <c r="G305" s="138"/>
      <c r="I305" s="539"/>
      <c r="J305" s="539"/>
      <c r="K305" s="198"/>
      <c r="L305" s="198"/>
      <c r="M305" s="539"/>
      <c r="N305" s="564"/>
      <c r="O305" s="198"/>
      <c r="S305" s="181" t="s">
        <v>119</v>
      </c>
      <c r="T305" s="182"/>
      <c r="U305" s="182"/>
      <c r="V305" s="182"/>
      <c r="W305" s="182"/>
      <c r="X305" s="182"/>
      <c r="Y305" s="183"/>
      <c r="Z305" s="73"/>
      <c r="AA305" s="73"/>
      <c r="AB305" s="32"/>
    </row>
    <row r="306" spans="1:28" ht="27.6" customHeight="1">
      <c r="A306" s="311" t="s">
        <v>248</v>
      </c>
      <c r="B306" s="312" t="s">
        <v>7</v>
      </c>
      <c r="C306" s="313" t="s">
        <v>0</v>
      </c>
      <c r="D306" s="472" t="s">
        <v>8</v>
      </c>
      <c r="E306" s="313" t="s">
        <v>2</v>
      </c>
      <c r="F306" s="53" t="s">
        <v>9</v>
      </c>
      <c r="G306" s="138"/>
      <c r="I306" s="93"/>
      <c r="J306" s="628"/>
      <c r="K306" s="228"/>
      <c r="L306" s="228"/>
      <c r="M306" s="200"/>
      <c r="N306" s="629"/>
      <c r="O306" s="199"/>
      <c r="S306" s="81"/>
      <c r="T306" s="155"/>
      <c r="U306" s="81"/>
      <c r="V306" s="81"/>
      <c r="W306" s="81"/>
      <c r="X306" s="81"/>
      <c r="Y306" s="81"/>
      <c r="Z306" s="73"/>
      <c r="AA306" s="73"/>
      <c r="AB306" s="32"/>
    </row>
    <row r="307" spans="1:28" ht="15.75">
      <c r="A307" s="315"/>
      <c r="B307" s="330" t="s">
        <v>65</v>
      </c>
      <c r="C307" s="360" t="s">
        <v>23</v>
      </c>
      <c r="D307" s="361">
        <v>5</v>
      </c>
      <c r="E307" s="319"/>
      <c r="F307" s="403"/>
      <c r="G307" s="299"/>
      <c r="I307" s="93"/>
      <c r="J307" s="620"/>
      <c r="K307" s="600"/>
      <c r="L307" s="630"/>
      <c r="M307" s="196"/>
      <c r="N307" s="554"/>
      <c r="O307" s="196"/>
      <c r="S307" s="62" t="s">
        <v>46</v>
      </c>
      <c r="T307" s="156"/>
      <c r="U307" s="62" t="s">
        <v>120</v>
      </c>
      <c r="V307" s="62" t="s">
        <v>121</v>
      </c>
      <c r="W307" s="62" t="s">
        <v>122</v>
      </c>
      <c r="X307" s="62" t="s">
        <v>111</v>
      </c>
      <c r="Y307" s="62" t="s">
        <v>123</v>
      </c>
      <c r="Z307" s="73"/>
      <c r="AA307" s="73"/>
      <c r="AB307" s="32"/>
    </row>
    <row r="308" spans="1:28">
      <c r="A308" s="315"/>
      <c r="B308" s="330" t="s">
        <v>66</v>
      </c>
      <c r="C308" s="412" t="s">
        <v>3</v>
      </c>
      <c r="D308" s="361">
        <f>5*0.15</f>
        <v>0.75</v>
      </c>
      <c r="E308" s="319"/>
      <c r="F308" s="403"/>
      <c r="G308" s="299"/>
      <c r="I308" s="93"/>
      <c r="J308" s="626"/>
      <c r="K308" s="600"/>
      <c r="L308" s="615"/>
      <c r="M308" s="571"/>
      <c r="N308" s="631"/>
      <c r="O308" s="571"/>
      <c r="S308" s="69" t="s">
        <v>124</v>
      </c>
      <c r="T308" s="69"/>
      <c r="U308" s="83">
        <v>1.8</v>
      </c>
      <c r="V308" s="83">
        <v>0.17</v>
      </c>
      <c r="W308" s="83">
        <v>1.5</v>
      </c>
      <c r="X308" s="83">
        <v>2</v>
      </c>
      <c r="Y308" s="88">
        <f>+X308*W308*V308*U308</f>
        <v>0.91800000000000004</v>
      </c>
      <c r="Z308" s="73"/>
      <c r="AA308" s="73"/>
      <c r="AB308" s="32"/>
    </row>
    <row r="309" spans="1:28">
      <c r="A309" s="315"/>
      <c r="B309" s="330" t="s">
        <v>62</v>
      </c>
      <c r="C309" s="327" t="s">
        <v>24</v>
      </c>
      <c r="D309" s="328">
        <f>5*0.15*0.3</f>
        <v>0.22499999999999998</v>
      </c>
      <c r="E309" s="329"/>
      <c r="F309" s="403"/>
      <c r="G309" s="299"/>
      <c r="I309" s="93"/>
      <c r="J309" s="626"/>
      <c r="K309" s="600"/>
      <c r="L309" s="552"/>
      <c r="M309" s="196"/>
      <c r="N309" s="622"/>
      <c r="O309" s="196"/>
      <c r="S309" s="69" t="s">
        <v>124</v>
      </c>
      <c r="T309" s="69"/>
      <c r="U309" s="83">
        <v>1.8</v>
      </c>
      <c r="V309" s="83">
        <v>0.17</v>
      </c>
      <c r="W309" s="83">
        <v>1.84</v>
      </c>
      <c r="X309" s="83">
        <v>2</v>
      </c>
      <c r="Y309" s="88">
        <f>+X309*W309*V309*U309</f>
        <v>1.1260800000000002</v>
      </c>
      <c r="Z309" s="73"/>
      <c r="AA309" s="73"/>
      <c r="AB309" s="32"/>
    </row>
    <row r="310" spans="1:28">
      <c r="A310" s="315"/>
      <c r="B310" s="330" t="s">
        <v>56</v>
      </c>
      <c r="C310" s="327" t="s">
        <v>24</v>
      </c>
      <c r="D310" s="328">
        <f>D308*0.12+(5*0.1*0.15)</f>
        <v>0.16499999999999998</v>
      </c>
      <c r="E310" s="329"/>
      <c r="F310" s="403"/>
      <c r="G310" s="299"/>
      <c r="I310" s="93"/>
      <c r="J310" s="626"/>
      <c r="K310" s="600"/>
      <c r="L310" s="552"/>
      <c r="M310" s="196"/>
      <c r="N310" s="622"/>
      <c r="O310" s="196"/>
      <c r="S310" s="61" t="s">
        <v>125</v>
      </c>
      <c r="T310" s="61"/>
      <c r="U310" s="66">
        <v>0.18</v>
      </c>
      <c r="V310" s="66">
        <v>1.84</v>
      </c>
      <c r="W310" s="66">
        <v>1.84</v>
      </c>
      <c r="X310" s="83">
        <v>1</v>
      </c>
      <c r="Y310" s="88">
        <f>+X310*W310*V310*U310</f>
        <v>0.60940800000000006</v>
      </c>
      <c r="Z310" s="73"/>
      <c r="AA310" s="73"/>
      <c r="AB310" s="32"/>
    </row>
    <row r="311" spans="1:28">
      <c r="A311" s="315"/>
      <c r="B311" s="330" t="s">
        <v>35</v>
      </c>
      <c r="C311" s="327" t="s">
        <v>24</v>
      </c>
      <c r="D311" s="328">
        <f>+D310</f>
        <v>0.16499999999999998</v>
      </c>
      <c r="E311" s="329"/>
      <c r="F311" s="403"/>
      <c r="G311" s="299"/>
      <c r="I311" s="93"/>
      <c r="J311" s="626"/>
      <c r="K311" s="600"/>
      <c r="L311" s="632"/>
      <c r="M311" s="196"/>
      <c r="N311" s="554"/>
      <c r="O311" s="196"/>
      <c r="S311" s="69" t="s">
        <v>127</v>
      </c>
      <c r="T311" s="69"/>
      <c r="U311" s="66">
        <v>0.18</v>
      </c>
      <c r="V311" s="66"/>
      <c r="W311" s="66"/>
      <c r="X311" s="83"/>
      <c r="Y311" s="88">
        <f>-(PI()*0.25*0.25)*U311</f>
        <v>-3.5342917352885174E-2</v>
      </c>
      <c r="Z311" s="73"/>
      <c r="AA311" s="73"/>
      <c r="AB311" s="32"/>
    </row>
    <row r="312" spans="1:28" ht="15.75">
      <c r="A312" s="315"/>
      <c r="B312" s="330" t="s">
        <v>80</v>
      </c>
      <c r="C312" s="325" t="s">
        <v>24</v>
      </c>
      <c r="D312" s="328">
        <f>0.15*0.1*5</f>
        <v>7.4999999999999997E-2</v>
      </c>
      <c r="E312" s="329"/>
      <c r="F312" s="403"/>
      <c r="G312" s="299"/>
      <c r="I312" s="93"/>
      <c r="J312" s="625"/>
      <c r="K312" s="600"/>
      <c r="L312" s="633"/>
      <c r="M312" s="196"/>
      <c r="N312" s="554"/>
      <c r="O312" s="196"/>
      <c r="S312" s="192" t="s">
        <v>113</v>
      </c>
      <c r="T312" s="192"/>
      <c r="U312" s="192"/>
      <c r="V312" s="192"/>
      <c r="W312" s="192"/>
      <c r="X312" s="192"/>
      <c r="Y312" s="60">
        <f>SUM(Y308:Y311)</f>
        <v>2.6181450826471151</v>
      </c>
      <c r="Z312" s="73"/>
      <c r="AA312" s="73"/>
      <c r="AB312" s="32"/>
    </row>
    <row r="313" spans="1:28">
      <c r="A313" s="315"/>
      <c r="B313" s="330" t="s">
        <v>67</v>
      </c>
      <c r="C313" s="327" t="s">
        <v>24</v>
      </c>
      <c r="D313" s="328">
        <f>+D308*0.1</f>
        <v>7.5000000000000011E-2</v>
      </c>
      <c r="E313" s="329"/>
      <c r="F313" s="403"/>
      <c r="G313" s="299"/>
      <c r="I313" s="93"/>
      <c r="J313" s="626"/>
      <c r="K313" s="600"/>
      <c r="L313" s="627"/>
      <c r="M313" s="609"/>
      <c r="N313" s="554"/>
      <c r="O313" s="196"/>
      <c r="S313" s="32"/>
      <c r="T313" s="32"/>
      <c r="U313" s="32"/>
      <c r="V313" s="32"/>
      <c r="W313" s="32"/>
      <c r="X313" s="32"/>
      <c r="Y313" s="73"/>
      <c r="Z313" s="73"/>
      <c r="AA313" s="73"/>
      <c r="AB313" s="32"/>
    </row>
    <row r="314" spans="1:28" ht="35.1" customHeight="1">
      <c r="A314" s="315"/>
      <c r="B314" s="330" t="s">
        <v>231</v>
      </c>
      <c r="C314" s="327" t="s">
        <v>18</v>
      </c>
      <c r="D314" s="328">
        <f>+D308</f>
        <v>0.75</v>
      </c>
      <c r="E314" s="329"/>
      <c r="F314" s="403"/>
      <c r="G314" s="299"/>
      <c r="I314" s="539"/>
      <c r="J314" s="539"/>
      <c r="K314" s="198"/>
      <c r="L314" s="198"/>
      <c r="M314" s="539"/>
      <c r="N314" s="198"/>
      <c r="O314" s="200"/>
      <c r="S314" s="32"/>
      <c r="T314" s="32"/>
      <c r="U314" s="32"/>
      <c r="V314" s="32"/>
      <c r="W314" s="32"/>
      <c r="X314" s="32"/>
      <c r="Y314" s="73"/>
      <c r="Z314" s="73"/>
      <c r="AA314" s="73"/>
      <c r="AB314" s="32"/>
    </row>
    <row r="315" spans="1:28" ht="15.75">
      <c r="A315" s="481"/>
      <c r="B315" s="460" t="s">
        <v>252</v>
      </c>
      <c r="C315" s="482" t="s">
        <v>23</v>
      </c>
      <c r="D315" s="483">
        <v>5</v>
      </c>
      <c r="E315" s="470"/>
      <c r="F315" s="403"/>
      <c r="G315" s="299"/>
      <c r="I315" s="190"/>
      <c r="J315" s="190"/>
      <c r="K315" s="174"/>
      <c r="L315" s="174"/>
      <c r="M315" s="93"/>
      <c r="N315" s="174"/>
      <c r="O315" s="93"/>
      <c r="S315" s="76" t="s">
        <v>108</v>
      </c>
      <c r="T315" s="153"/>
      <c r="U315" s="77"/>
      <c r="V315" s="77"/>
      <c r="W315" s="77"/>
      <c r="X315" s="77"/>
      <c r="Y315" s="77"/>
      <c r="Z315" s="77"/>
      <c r="AA315" s="78"/>
      <c r="AB315" s="32"/>
    </row>
    <row r="316" spans="1:28" ht="15.75">
      <c r="A316" s="325"/>
      <c r="B316" s="381" t="s">
        <v>57</v>
      </c>
      <c r="C316" s="325" t="s">
        <v>26</v>
      </c>
      <c r="D316" s="326">
        <v>1</v>
      </c>
      <c r="E316" s="319"/>
      <c r="F316" s="403"/>
      <c r="G316" s="299"/>
      <c r="I316" s="190"/>
      <c r="J316" s="190"/>
      <c r="K316" s="174"/>
      <c r="L316" s="174"/>
      <c r="M316" s="93"/>
      <c r="N316" s="174"/>
      <c r="O316" s="93"/>
      <c r="S316" s="752" t="s">
        <v>46</v>
      </c>
      <c r="T316" s="753"/>
      <c r="U316" s="765"/>
      <c r="V316" s="81" t="s">
        <v>109</v>
      </c>
      <c r="W316" s="81" t="s">
        <v>1</v>
      </c>
      <c r="X316" s="82" t="s">
        <v>111</v>
      </c>
      <c r="Y316" s="82" t="s">
        <v>112</v>
      </c>
      <c r="Z316" s="82" t="s">
        <v>113</v>
      </c>
      <c r="AA316" s="81" t="s">
        <v>114</v>
      </c>
      <c r="AB316" s="32"/>
    </row>
    <row r="317" spans="1:28" ht="19.5" customHeight="1" thickBot="1">
      <c r="A317" s="505"/>
      <c r="B317" s="460"/>
      <c r="C317" s="505"/>
      <c r="D317" s="506"/>
      <c r="E317" s="505"/>
      <c r="F317" s="507"/>
      <c r="G317" s="138"/>
      <c r="I317" s="539"/>
      <c r="J317" s="539"/>
      <c r="K317" s="198"/>
      <c r="L317" s="198"/>
      <c r="M317" s="539"/>
      <c r="N317" s="564"/>
      <c r="O317" s="198"/>
      <c r="S317" s="766" t="s">
        <v>128</v>
      </c>
      <c r="T317" s="156"/>
      <c r="U317" s="81" t="s">
        <v>129</v>
      </c>
      <c r="V317" s="83">
        <v>1.9</v>
      </c>
      <c r="W317" s="83">
        <f>ROUND(((1.5/0.2)+(1.74/0.2)),0)</f>
        <v>16</v>
      </c>
      <c r="X317" s="83">
        <v>2</v>
      </c>
      <c r="Y317" s="84">
        <v>0.99399999999999999</v>
      </c>
      <c r="Z317" s="83">
        <f t="shared" ref="Z317:Z322" si="3">+PRODUCT(O389:R389)</f>
        <v>0</v>
      </c>
      <c r="AA317" s="43" t="s">
        <v>117</v>
      </c>
      <c r="AB317" s="32"/>
    </row>
    <row r="318" spans="1:28" ht="16.5" thickBot="1">
      <c r="A318" s="297" t="s">
        <v>5</v>
      </c>
      <c r="B318" s="298"/>
      <c r="C318" s="298"/>
      <c r="D318" s="298"/>
      <c r="E318" s="508"/>
      <c r="F318" s="509">
        <f>ROUND(SUM(F307:F316),0)</f>
        <v>0</v>
      </c>
      <c r="G318" s="138"/>
      <c r="I318" s="190"/>
      <c r="J318" s="227"/>
      <c r="K318" s="228"/>
      <c r="L318" s="295"/>
      <c r="M318" s="200"/>
      <c r="N318" s="629"/>
      <c r="O318" s="199"/>
      <c r="S318" s="766"/>
      <c r="T318" s="156"/>
      <c r="U318" s="81" t="s">
        <v>120</v>
      </c>
      <c r="V318" s="83">
        <v>1.5</v>
      </c>
      <c r="W318" s="83">
        <f>ROUND((1.85/0.2),0)</f>
        <v>9</v>
      </c>
      <c r="X318" s="83">
        <v>2</v>
      </c>
      <c r="Y318" s="100">
        <v>0.56000000000000005</v>
      </c>
      <c r="Z318" s="83">
        <f t="shared" si="3"/>
        <v>0</v>
      </c>
      <c r="AA318" s="54" t="s">
        <v>130</v>
      </c>
      <c r="AB318" s="32"/>
    </row>
    <row r="319" spans="1:28" ht="21.95" customHeight="1">
      <c r="A319" s="306"/>
      <c r="B319" s="306"/>
      <c r="C319" s="306"/>
      <c r="D319" s="306"/>
      <c r="E319" s="306"/>
      <c r="F319" s="304"/>
      <c r="G319" s="138"/>
      <c r="I319" s="190"/>
      <c r="J319" s="626"/>
      <c r="K319" s="600"/>
      <c r="L319" s="633"/>
      <c r="M319" s="196"/>
      <c r="N319" s="554"/>
      <c r="O319" s="196"/>
      <c r="S319" s="766"/>
      <c r="T319" s="156"/>
      <c r="U319" s="81" t="s">
        <v>120</v>
      </c>
      <c r="V319" s="83">
        <v>1.74</v>
      </c>
      <c r="W319" s="83">
        <f>ROUND((1.85/0.2),0)</f>
        <v>9</v>
      </c>
      <c r="X319" s="83">
        <v>2</v>
      </c>
      <c r="Y319" s="100">
        <v>0.56000000000000005</v>
      </c>
      <c r="Z319" s="83">
        <f t="shared" si="3"/>
        <v>0</v>
      </c>
      <c r="AA319" s="54" t="s">
        <v>130</v>
      </c>
      <c r="AB319" s="32"/>
    </row>
    <row r="320" spans="1:28" ht="15.75" customHeight="1" thickBot="1">
      <c r="A320" s="306"/>
      <c r="B320" s="306"/>
      <c r="C320" s="306"/>
      <c r="D320" s="306"/>
      <c r="E320" s="306"/>
      <c r="F320" s="504"/>
      <c r="G320" s="138"/>
      <c r="I320" s="190"/>
      <c r="J320" s="626"/>
      <c r="K320" s="600"/>
      <c r="L320" s="552"/>
      <c r="M320" s="196"/>
      <c r="N320" s="622"/>
      <c r="O320" s="196"/>
      <c r="S320" s="750" t="s">
        <v>115</v>
      </c>
      <c r="T320" s="157"/>
      <c r="U320" s="81" t="s">
        <v>116</v>
      </c>
      <c r="V320" s="66">
        <v>1.74</v>
      </c>
      <c r="W320" s="83">
        <f>ROUND((1.84/0.15),0)</f>
        <v>12</v>
      </c>
      <c r="X320" s="83">
        <v>2</v>
      </c>
      <c r="Y320" s="84">
        <v>0.99399999999999999</v>
      </c>
      <c r="Z320" s="83">
        <f t="shared" si="3"/>
        <v>0</v>
      </c>
      <c r="AA320" s="43" t="s">
        <v>117</v>
      </c>
      <c r="AB320" s="61">
        <f>1.84*1.84</f>
        <v>3.3856000000000002</v>
      </c>
    </row>
    <row r="321" spans="1:28" ht="16.5" thickBot="1">
      <c r="A321" s="471"/>
      <c r="B321" s="737" t="s">
        <v>256</v>
      </c>
      <c r="C321" s="738"/>
      <c r="D321" s="738"/>
      <c r="E321" s="738"/>
      <c r="F321" s="373" t="s">
        <v>104</v>
      </c>
      <c r="G321" s="138"/>
      <c r="I321" s="190"/>
      <c r="J321" s="626"/>
      <c r="K321" s="600"/>
      <c r="L321" s="552"/>
      <c r="M321" s="196"/>
      <c r="N321" s="622"/>
      <c r="O321" s="196"/>
      <c r="S321" s="773"/>
      <c r="T321" s="159"/>
      <c r="U321" s="81" t="s">
        <v>118</v>
      </c>
      <c r="V321" s="83">
        <v>1</v>
      </c>
      <c r="W321" s="83">
        <v>4</v>
      </c>
      <c r="X321" s="83">
        <v>1</v>
      </c>
      <c r="Y321" s="84">
        <v>0.99399999999999999</v>
      </c>
      <c r="Z321" s="83">
        <f t="shared" si="3"/>
        <v>0</v>
      </c>
      <c r="AA321" s="43" t="s">
        <v>117</v>
      </c>
      <c r="AB321" s="61">
        <f>0.25*3.14</f>
        <v>0.78500000000000003</v>
      </c>
    </row>
    <row r="322" spans="1:28" ht="15.75">
      <c r="A322" s="311" t="s">
        <v>249</v>
      </c>
      <c r="B322" s="312" t="s">
        <v>7</v>
      </c>
      <c r="C322" s="313" t="s">
        <v>0</v>
      </c>
      <c r="D322" s="472" t="s">
        <v>8</v>
      </c>
      <c r="E322" s="313" t="s">
        <v>2</v>
      </c>
      <c r="F322" s="53" t="s">
        <v>9</v>
      </c>
      <c r="G322" s="138"/>
      <c r="I322" s="190"/>
      <c r="J322" s="626"/>
      <c r="K322" s="600"/>
      <c r="L322" s="552"/>
      <c r="M322" s="196"/>
      <c r="N322" s="622"/>
      <c r="O322" s="196"/>
      <c r="S322" s="773"/>
      <c r="T322" s="159"/>
      <c r="U322" s="81" t="s">
        <v>132</v>
      </c>
      <c r="V322" s="83">
        <v>1.7</v>
      </c>
      <c r="W322" s="83">
        <v>4</v>
      </c>
      <c r="X322" s="83">
        <v>1</v>
      </c>
      <c r="Y322" s="84">
        <v>1.552</v>
      </c>
      <c r="Z322" s="83">
        <f t="shared" si="3"/>
        <v>0</v>
      </c>
      <c r="AA322" s="103" t="s">
        <v>133</v>
      </c>
      <c r="AB322" s="32"/>
    </row>
    <row r="323" spans="1:28" ht="15.75">
      <c r="A323" s="315"/>
      <c r="B323" s="330" t="s">
        <v>65</v>
      </c>
      <c r="C323" s="360" t="s">
        <v>32</v>
      </c>
      <c r="D323" s="361">
        <v>5</v>
      </c>
      <c r="E323" s="319"/>
      <c r="F323" s="403"/>
      <c r="G323" s="303"/>
      <c r="I323" s="190"/>
      <c r="J323" s="626"/>
      <c r="K323" s="600"/>
      <c r="L323" s="632"/>
      <c r="M323" s="196"/>
      <c r="N323" s="554"/>
      <c r="O323" s="196"/>
      <c r="S323" s="751"/>
      <c r="T323" s="89"/>
      <c r="U323" s="96" t="s">
        <v>126</v>
      </c>
      <c r="V323" s="97"/>
      <c r="W323" s="97"/>
      <c r="X323" s="97"/>
      <c r="Y323" s="98"/>
      <c r="Z323" s="83">
        <f>-(AB321*Z320)/AB320</f>
        <v>0</v>
      </c>
      <c r="AA323" s="54"/>
      <c r="AB323" s="32"/>
    </row>
    <row r="324" spans="1:28" ht="15.75" customHeight="1">
      <c r="A324" s="315"/>
      <c r="B324" s="330" t="s">
        <v>66</v>
      </c>
      <c r="C324" s="412" t="s">
        <v>3</v>
      </c>
      <c r="D324" s="361">
        <f>5*0.15</f>
        <v>0.75</v>
      </c>
      <c r="E324" s="319"/>
      <c r="F324" s="403"/>
      <c r="G324" s="303"/>
      <c r="I324" s="190"/>
      <c r="J324" s="626"/>
      <c r="K324" s="600"/>
      <c r="L324" s="633"/>
      <c r="M324" s="196"/>
      <c r="N324" s="554"/>
      <c r="O324" s="196"/>
      <c r="S324" s="106" t="s">
        <v>113</v>
      </c>
      <c r="T324" s="107"/>
      <c r="U324" s="107"/>
      <c r="V324" s="107"/>
      <c r="W324" s="107"/>
      <c r="X324" s="107"/>
      <c r="Y324" s="108"/>
      <c r="Z324" s="83">
        <f>SUM(Z317:Z323)</f>
        <v>0</v>
      </c>
      <c r="AA324" s="66"/>
      <c r="AB324" s="32"/>
    </row>
    <row r="325" spans="1:28">
      <c r="A325" s="315"/>
      <c r="B325" s="330" t="s">
        <v>62</v>
      </c>
      <c r="C325" s="327" t="s">
        <v>24</v>
      </c>
      <c r="D325" s="328">
        <f>5*0.15*0.3</f>
        <v>0.22499999999999998</v>
      </c>
      <c r="E325" s="329"/>
      <c r="F325" s="403"/>
      <c r="G325" s="303"/>
      <c r="I325" s="190"/>
      <c r="J325" s="626"/>
      <c r="K325" s="600"/>
      <c r="L325" s="627"/>
      <c r="M325" s="609"/>
      <c r="N325" s="554"/>
      <c r="O325" s="196"/>
      <c r="S325" s="32"/>
      <c r="T325" s="32"/>
      <c r="U325" s="72"/>
      <c r="V325" s="72"/>
      <c r="W325" s="72"/>
      <c r="X325" s="72"/>
      <c r="Y325" s="72"/>
      <c r="Z325" s="72"/>
      <c r="AA325" s="73"/>
      <c r="AB325" s="32"/>
    </row>
    <row r="326" spans="1:28" ht="15.75">
      <c r="A326" s="315"/>
      <c r="B326" s="330" t="s">
        <v>56</v>
      </c>
      <c r="C326" s="327" t="s">
        <v>24</v>
      </c>
      <c r="D326" s="328">
        <f>D324*0.12+(5*0.1*0.15)</f>
        <v>0.16499999999999998</v>
      </c>
      <c r="E326" s="329"/>
      <c r="F326" s="403"/>
      <c r="G326" s="303"/>
      <c r="I326" s="539"/>
      <c r="J326" s="539"/>
      <c r="K326" s="198"/>
      <c r="L326" s="198"/>
      <c r="M326" s="539"/>
      <c r="N326" s="198"/>
      <c r="O326" s="200"/>
      <c r="S326" s="72"/>
      <c r="T326" s="72"/>
      <c r="U326" s="72"/>
      <c r="V326" s="72"/>
      <c r="W326" s="72"/>
      <c r="X326" s="72"/>
      <c r="Y326" s="72"/>
      <c r="Z326" s="72"/>
      <c r="AA326" s="87"/>
      <c r="AB326" s="32"/>
    </row>
    <row r="327" spans="1:28" ht="15.75">
      <c r="A327" s="315"/>
      <c r="B327" s="330" t="s">
        <v>35</v>
      </c>
      <c r="C327" s="327" t="s">
        <v>24</v>
      </c>
      <c r="D327" s="328">
        <f>+D326</f>
        <v>0.16499999999999998</v>
      </c>
      <c r="E327" s="329"/>
      <c r="F327" s="403"/>
      <c r="G327" s="303"/>
      <c r="I327" s="190"/>
      <c r="J327" s="190"/>
      <c r="K327" s="174"/>
      <c r="L327" s="174"/>
      <c r="M327" s="93"/>
      <c r="N327" s="174"/>
      <c r="O327" s="93"/>
      <c r="S327" s="79" t="s">
        <v>119</v>
      </c>
      <c r="T327" s="154"/>
      <c r="U327" s="85"/>
      <c r="V327" s="85"/>
      <c r="W327" s="85"/>
      <c r="X327" s="85"/>
      <c r="Y327" s="80"/>
      <c r="Z327" s="73"/>
      <c r="AA327" s="73"/>
      <c r="AB327" s="32"/>
    </row>
    <row r="328" spans="1:28" ht="15.75">
      <c r="A328" s="315"/>
      <c r="B328" s="330" t="s">
        <v>80</v>
      </c>
      <c r="C328" s="325" t="s">
        <v>24</v>
      </c>
      <c r="D328" s="328">
        <f>0.15*0.1*5</f>
        <v>7.4999999999999997E-2</v>
      </c>
      <c r="E328" s="329"/>
      <c r="F328" s="403"/>
      <c r="G328" s="303"/>
      <c r="I328" s="539"/>
      <c r="J328" s="539"/>
      <c r="K328" s="198"/>
      <c r="L328" s="198"/>
      <c r="M328" s="539"/>
      <c r="N328" s="564"/>
      <c r="O328" s="198"/>
      <c r="S328" s="62" t="s">
        <v>46</v>
      </c>
      <c r="T328" s="156"/>
      <c r="U328" s="81" t="s">
        <v>120</v>
      </c>
      <c r="V328" s="81" t="s">
        <v>121</v>
      </c>
      <c r="W328" s="81" t="s">
        <v>122</v>
      </c>
      <c r="X328" s="81" t="s">
        <v>111</v>
      </c>
      <c r="Y328" s="81" t="s">
        <v>123</v>
      </c>
      <c r="Z328" s="73"/>
      <c r="AA328" s="73"/>
      <c r="AB328" s="32"/>
    </row>
    <row r="329" spans="1:28" ht="15.75">
      <c r="A329" s="315"/>
      <c r="B329" s="330" t="s">
        <v>67</v>
      </c>
      <c r="C329" s="327" t="s">
        <v>24</v>
      </c>
      <c r="D329" s="328">
        <f>+D324*0.1</f>
        <v>7.5000000000000011E-2</v>
      </c>
      <c r="E329" s="329"/>
      <c r="F329" s="403"/>
      <c r="G329" s="303"/>
      <c r="I329" s="242"/>
      <c r="J329" s="634"/>
      <c r="K329" s="635"/>
      <c r="L329" s="234"/>
      <c r="M329" s="636"/>
      <c r="N329" s="234"/>
      <c r="O329" s="569"/>
      <c r="S329" s="69" t="s">
        <v>124</v>
      </c>
      <c r="T329" s="69"/>
      <c r="U329" s="83">
        <v>1.8</v>
      </c>
      <c r="V329" s="83">
        <v>0.12</v>
      </c>
      <c r="W329" s="83">
        <v>1.5</v>
      </c>
      <c r="X329" s="83">
        <v>2</v>
      </c>
      <c r="Y329" s="88">
        <f>+X329*W329*V329*U329</f>
        <v>0.64800000000000002</v>
      </c>
      <c r="Z329" s="73"/>
      <c r="AA329" s="73"/>
      <c r="AB329" s="32"/>
    </row>
    <row r="330" spans="1:28" ht="21.6" customHeight="1">
      <c r="A330" s="315"/>
      <c r="B330" s="330" t="s">
        <v>231</v>
      </c>
      <c r="C330" s="327" t="s">
        <v>18</v>
      </c>
      <c r="D330" s="328">
        <f>+D324</f>
        <v>0.75</v>
      </c>
      <c r="E330" s="329"/>
      <c r="F330" s="403"/>
      <c r="G330" s="303"/>
      <c r="I330" s="242"/>
      <c r="J330" s="637"/>
      <c r="K330" s="635"/>
      <c r="L330" s="234"/>
      <c r="M330" s="638"/>
      <c r="N330" s="639"/>
      <c r="O330" s="640"/>
      <c r="S330" s="69" t="s">
        <v>124</v>
      </c>
      <c r="T330" s="69"/>
      <c r="U330" s="83">
        <v>1.8</v>
      </c>
      <c r="V330" s="83">
        <v>0.12</v>
      </c>
      <c r="W330" s="83">
        <v>1.74</v>
      </c>
      <c r="X330" s="83">
        <v>2</v>
      </c>
      <c r="Y330" s="88">
        <f>+X330*W330*V330*U330</f>
        <v>0.75168000000000001</v>
      </c>
      <c r="Z330" s="73"/>
      <c r="AA330" s="73"/>
      <c r="AB330" s="32"/>
    </row>
    <row r="331" spans="1:28" ht="21.6" customHeight="1">
      <c r="A331" s="325"/>
      <c r="B331" s="330" t="s">
        <v>253</v>
      </c>
      <c r="C331" s="325" t="s">
        <v>32</v>
      </c>
      <c r="D331" s="328">
        <v>5</v>
      </c>
      <c r="E331" s="319"/>
      <c r="F331" s="403"/>
      <c r="G331" s="303"/>
      <c r="I331" s="242"/>
      <c r="J331" s="637"/>
      <c r="K331" s="635"/>
      <c r="L331" s="234"/>
      <c r="M331" s="638"/>
      <c r="N331" s="639"/>
      <c r="O331" s="640"/>
      <c r="S331" s="61" t="s">
        <v>125</v>
      </c>
      <c r="T331" s="61"/>
      <c r="U331" s="66">
        <v>0.15</v>
      </c>
      <c r="V331" s="66">
        <v>1.74</v>
      </c>
      <c r="W331" s="66">
        <v>1.74</v>
      </c>
      <c r="X331" s="83">
        <v>1</v>
      </c>
      <c r="Y331" s="88">
        <f>+X331*W331*V331*U331</f>
        <v>0.45413999999999999</v>
      </c>
      <c r="Z331" s="32"/>
      <c r="AA331" s="73"/>
      <c r="AB331" s="32"/>
    </row>
    <row r="332" spans="1:28">
      <c r="A332" s="325"/>
      <c r="B332" s="473" t="s">
        <v>57</v>
      </c>
      <c r="C332" s="325" t="s">
        <v>0</v>
      </c>
      <c r="D332" s="326">
        <v>1</v>
      </c>
      <c r="E332" s="319"/>
      <c r="F332" s="403"/>
      <c r="G332" s="303"/>
      <c r="I332" s="242"/>
      <c r="J332" s="637"/>
      <c r="K332" s="635"/>
      <c r="L332" s="234"/>
      <c r="M332" s="638"/>
      <c r="N332" s="234"/>
      <c r="O332" s="640"/>
      <c r="S332" s="69"/>
      <c r="T332" s="69"/>
      <c r="U332" s="66"/>
      <c r="V332" s="66"/>
      <c r="W332" s="66"/>
      <c r="X332" s="83"/>
      <c r="Y332" s="88"/>
      <c r="Z332" s="73"/>
      <c r="AA332" s="73"/>
      <c r="AB332" s="32"/>
    </row>
    <row r="333" spans="1:28" ht="15.75">
      <c r="A333" s="474"/>
      <c r="B333" s="316"/>
      <c r="C333" s="474"/>
      <c r="D333" s="475"/>
      <c r="E333" s="474"/>
      <c r="F333" s="476"/>
      <c r="G333" s="138"/>
      <c r="I333" s="539"/>
      <c r="J333" s="539"/>
      <c r="K333" s="198"/>
      <c r="L333" s="198"/>
      <c r="M333" s="539"/>
      <c r="N333" s="198"/>
      <c r="O333" s="200"/>
      <c r="S333" s="192" t="s">
        <v>113</v>
      </c>
      <c r="T333" s="192"/>
      <c r="U333" s="192"/>
      <c r="V333" s="192"/>
      <c r="W333" s="192"/>
      <c r="X333" s="192"/>
      <c r="Y333" s="60">
        <f>SUM(Y329:Y332)</f>
        <v>1.85382</v>
      </c>
      <c r="Z333" s="32"/>
      <c r="AA333" s="32"/>
      <c r="AB333" s="32"/>
    </row>
    <row r="334" spans="1:28" ht="16.5" thickBot="1">
      <c r="A334" s="477" t="s">
        <v>5</v>
      </c>
      <c r="B334" s="478"/>
      <c r="C334" s="478"/>
      <c r="D334" s="478"/>
      <c r="E334" s="479"/>
      <c r="F334" s="480">
        <f>ROUND(SUM(F323:F332),0)</f>
        <v>0</v>
      </c>
      <c r="G334" s="303"/>
      <c r="I334" s="190"/>
      <c r="J334" s="190"/>
      <c r="K334" s="174"/>
      <c r="L334" s="174"/>
      <c r="M334" s="93"/>
      <c r="N334" s="174"/>
      <c r="O334" s="93"/>
    </row>
    <row r="335" spans="1:28" ht="16.5" customHeight="1" thickBot="1">
      <c r="A335" s="305"/>
      <c r="B335" s="305"/>
      <c r="C335" s="305"/>
      <c r="D335" s="305"/>
      <c r="E335" s="305"/>
      <c r="F335" s="304"/>
      <c r="G335" s="138"/>
      <c r="I335" s="539"/>
      <c r="J335" s="539"/>
      <c r="K335" s="198"/>
      <c r="L335" s="198"/>
      <c r="M335" s="539"/>
      <c r="N335" s="564"/>
      <c r="O335" s="198"/>
    </row>
    <row r="336" spans="1:28" ht="16.5" thickBot="1">
      <c r="A336" s="471"/>
      <c r="B336" s="737" t="s">
        <v>263</v>
      </c>
      <c r="C336" s="738"/>
      <c r="D336" s="738"/>
      <c r="E336" s="738"/>
      <c r="F336" s="373" t="s">
        <v>104</v>
      </c>
      <c r="G336" s="138"/>
      <c r="I336" s="190"/>
      <c r="J336" s="227"/>
      <c r="K336" s="228"/>
      <c r="L336" s="293"/>
      <c r="M336" s="200"/>
      <c r="N336" s="295"/>
      <c r="O336" s="200"/>
    </row>
    <row r="337" spans="1:39" ht="15.75">
      <c r="A337" s="311" t="s">
        <v>254</v>
      </c>
      <c r="B337" s="312" t="s">
        <v>7</v>
      </c>
      <c r="C337" s="313" t="s">
        <v>0</v>
      </c>
      <c r="D337" s="472" t="s">
        <v>8</v>
      </c>
      <c r="E337" s="313" t="s">
        <v>2</v>
      </c>
      <c r="F337" s="53" t="s">
        <v>9</v>
      </c>
      <c r="G337" s="138"/>
      <c r="I337" s="190"/>
      <c r="J337" s="573"/>
      <c r="K337" s="546"/>
      <c r="L337" s="547"/>
      <c r="M337" s="196"/>
      <c r="N337" s="552"/>
      <c r="O337" s="196"/>
      <c r="S337" s="25"/>
      <c r="T337" s="25"/>
      <c r="U337" s="752" t="s">
        <v>142</v>
      </c>
      <c r="V337" s="753"/>
      <c r="W337" s="753"/>
      <c r="X337" s="753"/>
      <c r="Y337" s="753"/>
      <c r="Z337" s="753"/>
      <c r="AA337" s="765"/>
      <c r="AB337" s="48"/>
      <c r="AC337" s="32"/>
      <c r="AD337" s="32"/>
      <c r="AE337" s="32"/>
      <c r="AF337" s="32"/>
    </row>
    <row r="338" spans="1:39" ht="19.5" customHeight="1">
      <c r="A338" s="315"/>
      <c r="B338" s="330" t="s">
        <v>31</v>
      </c>
      <c r="C338" s="327" t="s">
        <v>32</v>
      </c>
      <c r="D338" s="331">
        <v>5</v>
      </c>
      <c r="E338" s="319"/>
      <c r="F338" s="403"/>
      <c r="G338" s="138"/>
      <c r="I338" s="190"/>
      <c r="J338" s="573"/>
      <c r="K338" s="546"/>
      <c r="L338" s="547"/>
      <c r="M338" s="196"/>
      <c r="N338" s="552"/>
      <c r="O338" s="196"/>
      <c r="S338" s="25"/>
      <c r="T338" s="25"/>
      <c r="U338" s="187" t="s">
        <v>143</v>
      </c>
      <c r="V338" s="187"/>
      <c r="W338" s="192" t="s">
        <v>144</v>
      </c>
      <c r="X338" s="192" t="s">
        <v>145</v>
      </c>
      <c r="Y338" s="192" t="s">
        <v>146</v>
      </c>
      <c r="Z338" s="192" t="s">
        <v>147</v>
      </c>
      <c r="AA338" s="192" t="s">
        <v>123</v>
      </c>
      <c r="AB338" s="73"/>
      <c r="AC338" s="32"/>
      <c r="AD338" s="32"/>
      <c r="AE338" s="32"/>
      <c r="AF338" s="32"/>
    </row>
    <row r="339" spans="1:39">
      <c r="A339" s="315"/>
      <c r="B339" s="332" t="s">
        <v>54</v>
      </c>
      <c r="C339" s="360" t="s">
        <v>3</v>
      </c>
      <c r="D339" s="418">
        <f>3*0.6</f>
        <v>1.7999999999999998</v>
      </c>
      <c r="E339" s="319"/>
      <c r="F339" s="403"/>
      <c r="G339" s="138"/>
      <c r="I339" s="190"/>
      <c r="J339" s="573"/>
      <c r="K339" s="546"/>
      <c r="L339" s="547"/>
      <c r="M339" s="196"/>
      <c r="N339" s="552"/>
      <c r="O339" s="196"/>
      <c r="S339" s="25"/>
      <c r="T339" s="25"/>
      <c r="U339" s="69" t="s">
        <v>148</v>
      </c>
      <c r="V339" s="69"/>
      <c r="W339" s="36">
        <v>2</v>
      </c>
      <c r="X339" s="125">
        <v>3.6</v>
      </c>
      <c r="Y339" s="125">
        <v>0.2</v>
      </c>
      <c r="Z339" s="125">
        <v>2.4</v>
      </c>
      <c r="AA339" s="125">
        <f t="shared" ref="AA339:AA351" si="4">+PRODUCT(W339:Z339)</f>
        <v>3.4560000000000004</v>
      </c>
      <c r="AB339" s="32"/>
      <c r="AC339" s="32"/>
      <c r="AD339" s="32"/>
      <c r="AE339" s="32"/>
      <c r="AF339" s="32"/>
    </row>
    <row r="340" spans="1:39">
      <c r="A340" s="315"/>
      <c r="B340" s="330" t="s">
        <v>62</v>
      </c>
      <c r="C340" s="327" t="s">
        <v>24</v>
      </c>
      <c r="D340" s="328">
        <f>3*0.5*0.5</f>
        <v>0.75</v>
      </c>
      <c r="E340" s="329"/>
      <c r="F340" s="403"/>
      <c r="G340" s="138"/>
      <c r="I340" s="190"/>
      <c r="J340" s="545"/>
      <c r="K340" s="190"/>
      <c r="L340" s="174"/>
      <c r="M340" s="196"/>
      <c r="N340" s="174"/>
      <c r="O340" s="196"/>
      <c r="S340" s="32"/>
      <c r="T340" s="32"/>
      <c r="U340" s="69" t="s">
        <v>149</v>
      </c>
      <c r="V340" s="69"/>
      <c r="W340" s="36">
        <v>2</v>
      </c>
      <c r="X340" s="125">
        <v>2.1</v>
      </c>
      <c r="Y340" s="125">
        <v>0.2</v>
      </c>
      <c r="Z340" s="125">
        <v>2.4</v>
      </c>
      <c r="AA340" s="125">
        <f t="shared" si="4"/>
        <v>2.016</v>
      </c>
      <c r="AB340" s="32"/>
      <c r="AC340" s="32"/>
      <c r="AD340" s="32"/>
      <c r="AE340" s="32"/>
      <c r="AF340" s="32"/>
    </row>
    <row r="341" spans="1:39">
      <c r="A341" s="315"/>
      <c r="B341" s="330" t="s">
        <v>56</v>
      </c>
      <c r="C341" s="327" t="s">
        <v>24</v>
      </c>
      <c r="D341" s="328">
        <v>0.05</v>
      </c>
      <c r="E341" s="329"/>
      <c r="F341" s="403"/>
      <c r="G341" s="138"/>
      <c r="I341" s="190"/>
      <c r="J341" s="545"/>
      <c r="K341" s="190"/>
      <c r="L341" s="174"/>
      <c r="M341" s="196"/>
      <c r="N341" s="174"/>
      <c r="O341" s="196"/>
      <c r="S341" s="32"/>
      <c r="T341" s="32"/>
      <c r="U341" s="69" t="s">
        <v>150</v>
      </c>
      <c r="V341" s="69"/>
      <c r="W341" s="36">
        <v>-2</v>
      </c>
      <c r="X341" s="125">
        <v>-1.2</v>
      </c>
      <c r="Y341" s="125">
        <v>0.2</v>
      </c>
      <c r="Z341" s="125">
        <v>0.65</v>
      </c>
      <c r="AA341" s="125">
        <f t="shared" si="4"/>
        <v>0.312</v>
      </c>
      <c r="AB341" s="32"/>
      <c r="AC341" s="32"/>
      <c r="AD341" s="32"/>
      <c r="AE341" s="32"/>
      <c r="AF341" s="32"/>
    </row>
    <row r="342" spans="1:39" ht="15.75">
      <c r="A342" s="315"/>
      <c r="B342" s="330" t="s">
        <v>35</v>
      </c>
      <c r="C342" s="327" t="s">
        <v>24</v>
      </c>
      <c r="D342" s="328">
        <f>+D341</f>
        <v>0.05</v>
      </c>
      <c r="E342" s="329"/>
      <c r="F342" s="403"/>
      <c r="G342" s="138"/>
      <c r="I342" s="190"/>
      <c r="J342" s="573"/>
      <c r="K342" s="546"/>
      <c r="L342" s="547"/>
      <c r="M342" s="196"/>
      <c r="N342" s="552"/>
      <c r="O342" s="196"/>
      <c r="S342" s="32"/>
      <c r="T342" s="32"/>
      <c r="U342" s="69" t="s">
        <v>151</v>
      </c>
      <c r="V342" s="69"/>
      <c r="W342" s="36">
        <v>1</v>
      </c>
      <c r="X342" s="54">
        <v>3.6</v>
      </c>
      <c r="Y342" s="54">
        <v>2.5</v>
      </c>
      <c r="Z342" s="125">
        <v>0.17</v>
      </c>
      <c r="AA342" s="125">
        <f t="shared" si="4"/>
        <v>1.53</v>
      </c>
      <c r="AB342" s="32"/>
      <c r="AC342" s="32"/>
      <c r="AD342" s="32"/>
      <c r="AE342" s="76" t="s">
        <v>108</v>
      </c>
      <c r="AF342" s="218"/>
      <c r="AG342" s="218"/>
      <c r="AH342" s="218"/>
      <c r="AI342" s="218"/>
      <c r="AJ342" s="218"/>
      <c r="AK342" s="218"/>
      <c r="AL342" s="218"/>
      <c r="AM342" s="219"/>
    </row>
    <row r="343" spans="1:39" ht="15.75">
      <c r="A343" s="315"/>
      <c r="B343" s="330" t="s">
        <v>80</v>
      </c>
      <c r="C343" s="325" t="s">
        <v>24</v>
      </c>
      <c r="D343" s="328">
        <f>0.15*0.1*5</f>
        <v>7.4999999999999997E-2</v>
      </c>
      <c r="E343" s="329"/>
      <c r="F343" s="403"/>
      <c r="G343" s="138"/>
      <c r="I343" s="539"/>
      <c r="J343" s="539"/>
      <c r="K343" s="198"/>
      <c r="L343" s="198"/>
      <c r="M343" s="539"/>
      <c r="N343" s="198"/>
      <c r="O343" s="200"/>
      <c r="S343" s="32"/>
      <c r="T343" s="32"/>
      <c r="U343" s="69" t="s">
        <v>152</v>
      </c>
      <c r="V343" s="69"/>
      <c r="W343" s="36">
        <v>-1</v>
      </c>
      <c r="X343" s="54">
        <v>1</v>
      </c>
      <c r="Y343" s="54">
        <v>1</v>
      </c>
      <c r="Z343" s="125">
        <v>0.17</v>
      </c>
      <c r="AA343" s="125">
        <f t="shared" si="4"/>
        <v>-0.17</v>
      </c>
      <c r="AB343" s="32"/>
      <c r="AC343" s="32"/>
      <c r="AD343" s="32"/>
      <c r="AE343" s="216" t="s">
        <v>46</v>
      </c>
      <c r="AF343" s="221"/>
      <c r="AG343" s="192" t="s">
        <v>109</v>
      </c>
      <c r="AH343" s="192" t="s">
        <v>110</v>
      </c>
      <c r="AI343" s="192"/>
      <c r="AJ343" s="222" t="s">
        <v>111</v>
      </c>
      <c r="AK343" s="222" t="s">
        <v>112</v>
      </c>
      <c r="AL343" s="222" t="s">
        <v>113</v>
      </c>
      <c r="AM343" s="192" t="s">
        <v>114</v>
      </c>
    </row>
    <row r="344" spans="1:39" ht="15.75">
      <c r="A344" s="315"/>
      <c r="B344" s="330" t="s">
        <v>67</v>
      </c>
      <c r="C344" s="327" t="s">
        <v>24</v>
      </c>
      <c r="D344" s="328">
        <f>+D339*0.1</f>
        <v>0.18</v>
      </c>
      <c r="E344" s="329"/>
      <c r="F344" s="403"/>
      <c r="G344" s="138"/>
      <c r="I344" s="190"/>
      <c r="J344" s="190"/>
      <c r="K344" s="174"/>
      <c r="L344" s="174"/>
      <c r="M344" s="93"/>
      <c r="N344" s="174"/>
      <c r="O344" s="93"/>
      <c r="S344" s="32"/>
      <c r="T344" s="32"/>
      <c r="U344" s="69" t="s">
        <v>153</v>
      </c>
      <c r="V344" s="69"/>
      <c r="W344" s="36">
        <v>2</v>
      </c>
      <c r="X344" s="36">
        <v>2.5</v>
      </c>
      <c r="Y344" s="36">
        <v>0.2</v>
      </c>
      <c r="Z344" s="36">
        <v>0.25</v>
      </c>
      <c r="AA344" s="125">
        <f t="shared" si="4"/>
        <v>0.25</v>
      </c>
      <c r="AB344" s="32"/>
      <c r="AC344" s="32"/>
      <c r="AD344" s="32"/>
      <c r="AE344" s="214" t="s">
        <v>115</v>
      </c>
      <c r="AF344" s="192" t="s">
        <v>116</v>
      </c>
      <c r="AG344" s="66">
        <v>1</v>
      </c>
      <c r="AH344" s="83">
        <f>ROUND((1/0.15),0)</f>
        <v>7</v>
      </c>
      <c r="AI344" s="83"/>
      <c r="AJ344" s="83">
        <v>2</v>
      </c>
      <c r="AK344" s="83">
        <v>1</v>
      </c>
      <c r="AL344" s="83">
        <f>+PRODUCT(AG344:AK344)</f>
        <v>14</v>
      </c>
      <c r="AM344" s="43" t="s">
        <v>117</v>
      </c>
    </row>
    <row r="345" spans="1:39" ht="15.75">
      <c r="A345" s="315"/>
      <c r="B345" s="316" t="s">
        <v>253</v>
      </c>
      <c r="C345" s="325" t="s">
        <v>32</v>
      </c>
      <c r="D345" s="328">
        <v>3</v>
      </c>
      <c r="E345" s="329"/>
      <c r="F345" s="403"/>
      <c r="G345" s="138"/>
      <c r="I345" s="190"/>
      <c r="J345" s="190"/>
      <c r="K345" s="174"/>
      <c r="L345" s="174"/>
      <c r="M345" s="93"/>
      <c r="N345" s="174"/>
      <c r="O345" s="93"/>
      <c r="S345" s="32"/>
      <c r="T345" s="32"/>
      <c r="U345" s="69" t="s">
        <v>154</v>
      </c>
      <c r="V345" s="69"/>
      <c r="W345" s="36">
        <v>1</v>
      </c>
      <c r="X345" s="36">
        <v>0.6</v>
      </c>
      <c r="Y345" s="36">
        <v>0.2</v>
      </c>
      <c r="Z345" s="36">
        <v>0.25</v>
      </c>
      <c r="AA345" s="125">
        <f t="shared" si="4"/>
        <v>0.03</v>
      </c>
      <c r="AB345" s="32"/>
      <c r="AC345" s="32"/>
      <c r="AD345" s="32"/>
      <c r="AE345" s="215"/>
      <c r="AF345" s="192" t="s">
        <v>118</v>
      </c>
      <c r="AG345" s="83">
        <v>0.5</v>
      </c>
      <c r="AH345" s="83">
        <v>4</v>
      </c>
      <c r="AI345" s="83"/>
      <c r="AJ345" s="83">
        <v>1</v>
      </c>
      <c r="AK345" s="84">
        <v>1</v>
      </c>
      <c r="AL345" s="83">
        <f>+PRODUCT(AG345:AK345)</f>
        <v>2</v>
      </c>
      <c r="AM345" s="43" t="s">
        <v>117</v>
      </c>
    </row>
    <row r="346" spans="1:39" ht="18.75" customHeight="1">
      <c r="A346" s="325"/>
      <c r="B346" s="330" t="s">
        <v>59</v>
      </c>
      <c r="C346" s="360" t="s">
        <v>3</v>
      </c>
      <c r="D346" s="418">
        <f>+D339</f>
        <v>1.7999999999999998</v>
      </c>
      <c r="E346" s="329"/>
      <c r="F346" s="403"/>
      <c r="G346" s="138"/>
      <c r="I346" s="539"/>
      <c r="J346" s="539"/>
      <c r="K346" s="198"/>
      <c r="L346" s="198"/>
      <c r="M346" s="539"/>
      <c r="N346" s="564"/>
      <c r="O346" s="198"/>
      <c r="S346" s="32"/>
      <c r="T346" s="32"/>
      <c r="U346" s="69" t="s">
        <v>154</v>
      </c>
      <c r="V346" s="69"/>
      <c r="W346" s="36">
        <v>2</v>
      </c>
      <c r="X346" s="36">
        <v>1.8</v>
      </c>
      <c r="Y346" s="36">
        <v>0.2</v>
      </c>
      <c r="Z346" s="36">
        <v>0.25</v>
      </c>
      <c r="AA346" s="125">
        <f t="shared" si="4"/>
        <v>0.18000000000000002</v>
      </c>
      <c r="AB346" s="32"/>
      <c r="AC346" s="32"/>
      <c r="AD346" s="32"/>
      <c r="AE346" s="216" t="s">
        <v>113</v>
      </c>
      <c r="AF346" s="220"/>
      <c r="AG346" s="220"/>
      <c r="AH346" s="220"/>
      <c r="AI346" s="220"/>
      <c r="AJ346" s="220"/>
      <c r="AK346" s="221"/>
      <c r="AL346" s="83">
        <f>SUM(AL344:AL345)</f>
        <v>16</v>
      </c>
      <c r="AM346" s="66"/>
    </row>
    <row r="347" spans="1:39" ht="15.75">
      <c r="A347" s="325"/>
      <c r="B347" s="381" t="s">
        <v>57</v>
      </c>
      <c r="C347" s="325" t="s">
        <v>0</v>
      </c>
      <c r="D347" s="326">
        <v>1</v>
      </c>
      <c r="E347" s="319"/>
      <c r="F347" s="403"/>
      <c r="G347" s="138"/>
      <c r="I347" s="190"/>
      <c r="J347" s="565"/>
      <c r="K347" s="228"/>
      <c r="L347" s="293"/>
      <c r="M347" s="200"/>
      <c r="N347" s="295"/>
      <c r="O347" s="200"/>
      <c r="S347" s="32"/>
      <c r="T347" s="32"/>
      <c r="U347" s="69" t="s">
        <v>155</v>
      </c>
      <c r="V347" s="69"/>
      <c r="W347" s="36">
        <v>2</v>
      </c>
      <c r="X347" s="36">
        <v>2.5</v>
      </c>
      <c r="Y347" s="36">
        <v>0.2</v>
      </c>
      <c r="Z347" s="36">
        <v>0.25</v>
      </c>
      <c r="AA347" s="125">
        <f t="shared" si="4"/>
        <v>0.25</v>
      </c>
      <c r="AB347" s="32"/>
      <c r="AC347" s="32"/>
      <c r="AD347" s="32"/>
      <c r="AE347" s="72"/>
      <c r="AF347" s="72"/>
      <c r="AG347" s="72"/>
      <c r="AH347" s="72"/>
      <c r="AI347" s="72"/>
      <c r="AJ347" s="72"/>
      <c r="AK347" s="72"/>
      <c r="AL347" s="72"/>
      <c r="AM347" s="87"/>
    </row>
    <row r="348" spans="1:39" ht="15.75">
      <c r="A348" s="474"/>
      <c r="B348" s="316"/>
      <c r="C348" s="474"/>
      <c r="D348" s="475"/>
      <c r="E348" s="474"/>
      <c r="F348" s="476"/>
      <c r="G348" s="138"/>
      <c r="I348" s="190"/>
      <c r="J348" s="545"/>
      <c r="K348" s="546"/>
      <c r="L348" s="547"/>
      <c r="M348" s="196"/>
      <c r="N348" s="552"/>
      <c r="O348" s="196"/>
      <c r="S348" s="32"/>
      <c r="T348" s="32"/>
      <c r="U348" s="69" t="s">
        <v>156</v>
      </c>
      <c r="V348" s="69"/>
      <c r="W348" s="36">
        <v>2</v>
      </c>
      <c r="X348" s="36">
        <v>3.1</v>
      </c>
      <c r="Y348" s="36">
        <v>0.2</v>
      </c>
      <c r="Z348" s="36">
        <v>0.25</v>
      </c>
      <c r="AA348" s="125">
        <f t="shared" si="4"/>
        <v>0.31000000000000005</v>
      </c>
      <c r="AB348" s="32"/>
      <c r="AC348" s="32"/>
      <c r="AD348" s="32"/>
      <c r="AE348" s="216" t="s">
        <v>119</v>
      </c>
      <c r="AF348" s="220"/>
      <c r="AG348" s="220"/>
      <c r="AH348" s="220"/>
      <c r="AI348" s="220"/>
      <c r="AJ348" s="220"/>
      <c r="AK348" s="221"/>
      <c r="AL348" s="73"/>
      <c r="AM348" s="73"/>
    </row>
    <row r="349" spans="1:39" ht="16.5" thickBot="1">
      <c r="A349" s="477" t="s">
        <v>5</v>
      </c>
      <c r="B349" s="478"/>
      <c r="C349" s="478"/>
      <c r="D349" s="478"/>
      <c r="E349" s="479"/>
      <c r="F349" s="480">
        <f>ROUND(SUM(F338:F347),0)</f>
        <v>0</v>
      </c>
      <c r="G349" s="138"/>
      <c r="I349" s="190"/>
      <c r="J349" s="545"/>
      <c r="K349" s="546"/>
      <c r="L349" s="547"/>
      <c r="M349" s="196"/>
      <c r="N349" s="552"/>
      <c r="O349" s="196"/>
      <c r="S349" s="32"/>
      <c r="T349" s="32"/>
      <c r="U349" s="69" t="s">
        <v>157</v>
      </c>
      <c r="V349" s="69"/>
      <c r="W349" s="36">
        <v>2</v>
      </c>
      <c r="X349" s="37">
        <v>1.8</v>
      </c>
      <c r="Y349" s="126">
        <v>0.2</v>
      </c>
      <c r="Z349" s="125">
        <v>0.17</v>
      </c>
      <c r="AA349" s="125">
        <f t="shared" si="4"/>
        <v>0.12240000000000002</v>
      </c>
      <c r="AB349" s="32"/>
      <c r="AC349" s="32"/>
      <c r="AD349" s="32"/>
      <c r="AE349" s="192"/>
      <c r="AF349" s="192"/>
      <c r="AG349" s="192"/>
      <c r="AH349" s="192"/>
      <c r="AI349" s="192"/>
      <c r="AJ349" s="192"/>
      <c r="AK349" s="192"/>
      <c r="AL349" s="73"/>
      <c r="AM349" s="73"/>
    </row>
    <row r="350" spans="1:39" ht="16.5" thickBot="1">
      <c r="A350" s="305"/>
      <c r="B350" s="305"/>
      <c r="C350" s="305"/>
      <c r="D350" s="305"/>
      <c r="E350" s="305"/>
      <c r="F350" s="304"/>
      <c r="G350" s="138"/>
      <c r="I350" s="190"/>
      <c r="J350" s="545"/>
      <c r="K350" s="546"/>
      <c r="L350" s="547"/>
      <c r="M350" s="196"/>
      <c r="N350" s="552"/>
      <c r="O350" s="196"/>
      <c r="S350" s="32"/>
      <c r="T350" s="32"/>
      <c r="U350" s="69" t="s">
        <v>157</v>
      </c>
      <c r="V350" s="69"/>
      <c r="W350" s="36">
        <v>1</v>
      </c>
      <c r="X350" s="37">
        <v>2.1</v>
      </c>
      <c r="Y350" s="126">
        <v>0.4</v>
      </c>
      <c r="Z350" s="125">
        <v>0.17</v>
      </c>
      <c r="AA350" s="125">
        <f t="shared" si="4"/>
        <v>0.14280000000000001</v>
      </c>
      <c r="AB350" s="32"/>
      <c r="AC350" s="32"/>
      <c r="AD350" s="32"/>
      <c r="AE350" s="213" t="s">
        <v>46</v>
      </c>
      <c r="AF350" s="226" t="s">
        <v>120</v>
      </c>
      <c r="AG350" s="226" t="s">
        <v>121</v>
      </c>
      <c r="AH350" s="226" t="s">
        <v>122</v>
      </c>
      <c r="AI350" s="226"/>
      <c r="AJ350" s="226" t="s">
        <v>111</v>
      </c>
      <c r="AK350" s="226" t="s">
        <v>123</v>
      </c>
      <c r="AL350" s="73"/>
      <c r="AM350" s="73"/>
    </row>
    <row r="351" spans="1:39" ht="15.75">
      <c r="A351" s="484"/>
      <c r="B351" s="741" t="s">
        <v>260</v>
      </c>
      <c r="C351" s="742"/>
      <c r="D351" s="742"/>
      <c r="E351" s="743"/>
      <c r="F351" s="485" t="s">
        <v>105</v>
      </c>
      <c r="G351" s="138"/>
      <c r="I351" s="190"/>
      <c r="J351" s="545"/>
      <c r="K351" s="546"/>
      <c r="L351" s="547"/>
      <c r="M351" s="196"/>
      <c r="N351" s="552"/>
      <c r="O351" s="196"/>
      <c r="S351" s="32"/>
      <c r="T351" s="32"/>
      <c r="U351" s="69" t="s">
        <v>158</v>
      </c>
      <c r="V351" s="69"/>
      <c r="W351" s="36">
        <v>-1</v>
      </c>
      <c r="X351" s="127">
        <f>+(PI()*0.6*0.6)/4</f>
        <v>0.28274333882308139</v>
      </c>
      <c r="Y351" s="128"/>
      <c r="Z351" s="125">
        <v>0.17</v>
      </c>
      <c r="AA351" s="125">
        <f t="shared" si="4"/>
        <v>-4.8066367599923839E-2</v>
      </c>
      <c r="AB351" s="129"/>
      <c r="AC351" s="32"/>
      <c r="AD351" s="32"/>
      <c r="AE351" s="69" t="s">
        <v>124</v>
      </c>
      <c r="AF351" s="83">
        <v>1</v>
      </c>
      <c r="AG351" s="83">
        <v>0.12</v>
      </c>
      <c r="AH351" s="83">
        <v>1</v>
      </c>
      <c r="AI351" s="83"/>
      <c r="AJ351" s="83">
        <v>2</v>
      </c>
      <c r="AK351" s="88">
        <f>+AJ351*AH351*AG351*AF351</f>
        <v>0.24</v>
      </c>
      <c r="AL351" s="73"/>
      <c r="AM351" s="73"/>
    </row>
    <row r="352" spans="1:39" ht="15.75">
      <c r="A352" s="486" t="s">
        <v>258</v>
      </c>
      <c r="B352" s="487" t="s">
        <v>7</v>
      </c>
      <c r="C352" s="488" t="s">
        <v>0</v>
      </c>
      <c r="D352" s="488" t="s">
        <v>8</v>
      </c>
      <c r="E352" s="488" t="s">
        <v>2</v>
      </c>
      <c r="F352" s="489" t="s">
        <v>9</v>
      </c>
      <c r="G352" s="138"/>
      <c r="I352" s="190"/>
      <c r="J352" s="545"/>
      <c r="K352" s="546"/>
      <c r="L352" s="547"/>
      <c r="M352" s="196"/>
      <c r="N352" s="552"/>
      <c r="O352" s="196"/>
      <c r="S352" s="32"/>
      <c r="T352" s="32"/>
      <c r="U352" s="184" t="s">
        <v>113</v>
      </c>
      <c r="V352" s="185"/>
      <c r="W352" s="185"/>
      <c r="X352" s="185"/>
      <c r="Y352" s="185"/>
      <c r="Z352" s="186"/>
      <c r="AA352" s="130">
        <f>SUM(AA339:AA351)</f>
        <v>8.3811336324000774</v>
      </c>
      <c r="AB352" s="131">
        <f>SUM(AA344:AA351)</f>
        <v>1.2371336324000763</v>
      </c>
      <c r="AC352" s="32"/>
      <c r="AD352" s="32"/>
      <c r="AE352" s="69" t="s">
        <v>124</v>
      </c>
      <c r="AF352" s="83">
        <v>1</v>
      </c>
      <c r="AG352" s="83">
        <v>0.12</v>
      </c>
      <c r="AH352" s="296">
        <v>0.18</v>
      </c>
      <c r="AI352" s="83"/>
      <c r="AJ352" s="83">
        <v>2</v>
      </c>
      <c r="AK352" s="88">
        <f>+AJ352*AH352*AG352*AF352</f>
        <v>4.3199999999999995E-2</v>
      </c>
      <c r="AL352" s="73"/>
      <c r="AM352" s="73"/>
    </row>
    <row r="353" spans="1:40" ht="15.75" customHeight="1">
      <c r="A353" s="486"/>
      <c r="B353" s="490" t="s">
        <v>65</v>
      </c>
      <c r="C353" s="420" t="s">
        <v>23</v>
      </c>
      <c r="D353" s="491">
        <v>4</v>
      </c>
      <c r="E353" s="492"/>
      <c r="F353" s="493"/>
      <c r="G353" s="138"/>
      <c r="I353" s="190"/>
      <c r="J353" s="545"/>
      <c r="K353" s="546"/>
      <c r="L353" s="547"/>
      <c r="M353" s="196"/>
      <c r="N353" s="552"/>
      <c r="O353" s="196"/>
      <c r="S353" s="32"/>
      <c r="T353" s="32"/>
      <c r="U353" s="25"/>
      <c r="V353" s="25"/>
      <c r="W353" s="25"/>
      <c r="X353" s="25"/>
      <c r="Y353" s="25"/>
      <c r="Z353" s="25"/>
      <c r="AA353" s="25"/>
      <c r="AB353" s="32"/>
      <c r="AC353" s="32"/>
      <c r="AD353" s="32"/>
      <c r="AE353" s="69"/>
      <c r="AF353" s="83"/>
      <c r="AG353" s="83"/>
      <c r="AH353" s="83"/>
      <c r="AI353" s="83"/>
      <c r="AJ353" s="83"/>
      <c r="AK353" s="88"/>
      <c r="AL353" s="73"/>
      <c r="AM353" s="73"/>
    </row>
    <row r="354" spans="1:40" ht="15.75" customHeight="1">
      <c r="A354" s="486"/>
      <c r="B354" s="490" t="s">
        <v>66</v>
      </c>
      <c r="C354" s="420" t="s">
        <v>18</v>
      </c>
      <c r="D354" s="491">
        <f>2*0.15</f>
        <v>0.3</v>
      </c>
      <c r="E354" s="492"/>
      <c r="F354" s="493"/>
      <c r="G354" s="138"/>
      <c r="I354" s="190"/>
      <c r="J354" s="545"/>
      <c r="K354" s="546"/>
      <c r="L354" s="547"/>
      <c r="M354" s="196"/>
      <c r="N354" s="608"/>
      <c r="O354" s="196"/>
      <c r="S354" s="32"/>
      <c r="T354" s="32"/>
      <c r="U354" s="25"/>
      <c r="V354" s="25"/>
      <c r="W354" s="25"/>
      <c r="X354" s="25"/>
      <c r="Y354" s="25"/>
      <c r="Z354" s="25"/>
      <c r="AA354" s="32"/>
      <c r="AB354" s="32"/>
      <c r="AC354" s="32"/>
      <c r="AD354" s="32"/>
      <c r="AE354" s="61" t="s">
        <v>125</v>
      </c>
      <c r="AF354" s="66">
        <v>0.08</v>
      </c>
      <c r="AG354" s="66">
        <v>1</v>
      </c>
      <c r="AH354" s="66">
        <v>1</v>
      </c>
      <c r="AI354" s="66"/>
      <c r="AJ354" s="83">
        <v>1</v>
      </c>
      <c r="AK354" s="88">
        <f>+AJ354*AH354*AG354*AF354</f>
        <v>0.08</v>
      </c>
      <c r="AL354" s="73"/>
      <c r="AM354" s="73"/>
    </row>
    <row r="355" spans="1:40" ht="15.75">
      <c r="A355" s="486"/>
      <c r="B355" s="330" t="s">
        <v>62</v>
      </c>
      <c r="C355" s="327" t="s">
        <v>24</v>
      </c>
      <c r="D355" s="331">
        <f>2*0.3*0.5</f>
        <v>0.3</v>
      </c>
      <c r="E355" s="329"/>
      <c r="F355" s="493"/>
      <c r="G355" s="138"/>
      <c r="I355" s="190"/>
      <c r="J355" s="545"/>
      <c r="K355" s="546"/>
      <c r="L355" s="547"/>
      <c r="M355" s="196"/>
      <c r="N355" s="552"/>
      <c r="O355" s="196"/>
      <c r="S355" s="767" t="s">
        <v>159</v>
      </c>
      <c r="T355" s="768"/>
      <c r="U355" s="768"/>
      <c r="V355" s="768"/>
      <c r="W355" s="768"/>
      <c r="X355" s="768"/>
      <c r="Y355" s="768"/>
      <c r="Z355" s="768"/>
      <c r="AA355" s="768"/>
      <c r="AB355" s="768"/>
      <c r="AC355" s="769"/>
      <c r="AD355" s="32"/>
      <c r="AE355" s="216" t="s">
        <v>113</v>
      </c>
      <c r="AF355" s="220"/>
      <c r="AG355" s="220"/>
      <c r="AH355" s="220"/>
      <c r="AI355" s="220"/>
      <c r="AJ355" s="221"/>
      <c r="AK355" s="60">
        <f>SUM(AK351:AK354)</f>
        <v>0.36320000000000002</v>
      </c>
      <c r="AL355" s="73"/>
      <c r="AM355" s="73"/>
    </row>
    <row r="356" spans="1:40" ht="15.75">
      <c r="A356" s="486"/>
      <c r="B356" s="330" t="s">
        <v>56</v>
      </c>
      <c r="C356" s="327" t="s">
        <v>24</v>
      </c>
      <c r="D356" s="331">
        <f>D354*0.12</f>
        <v>3.5999999999999997E-2</v>
      </c>
      <c r="E356" s="329"/>
      <c r="F356" s="493"/>
      <c r="G356" s="138"/>
      <c r="H356" s="32"/>
      <c r="I356" s="190"/>
      <c r="J356" s="545"/>
      <c r="K356" s="546"/>
      <c r="L356" s="547"/>
      <c r="M356" s="196"/>
      <c r="N356" s="552"/>
      <c r="O356" s="196"/>
      <c r="S356" s="763" t="s">
        <v>46</v>
      </c>
      <c r="T356" s="763"/>
      <c r="U356" s="763"/>
      <c r="V356" s="170"/>
      <c r="W356" s="188" t="s">
        <v>139</v>
      </c>
      <c r="X356" s="191" t="s">
        <v>160</v>
      </c>
      <c r="Y356" s="180" t="s">
        <v>161</v>
      </c>
      <c r="Z356" s="180" t="s">
        <v>162</v>
      </c>
      <c r="AA356" s="191" t="s">
        <v>114</v>
      </c>
      <c r="AB356" s="191" t="s">
        <v>112</v>
      </c>
      <c r="AC356" s="191" t="s">
        <v>181</v>
      </c>
      <c r="AD356" s="32"/>
      <c r="AE356" s="48"/>
      <c r="AF356" s="48"/>
    </row>
    <row r="357" spans="1:40" ht="15.75">
      <c r="A357" s="486"/>
      <c r="B357" s="330" t="s">
        <v>35</v>
      </c>
      <c r="C357" s="327" t="s">
        <v>24</v>
      </c>
      <c r="D357" s="331">
        <f>+D356</f>
        <v>3.5999999999999997E-2</v>
      </c>
      <c r="E357" s="329"/>
      <c r="F357" s="493"/>
      <c r="G357" s="138"/>
      <c r="I357" s="190"/>
      <c r="J357" s="545"/>
      <c r="K357" s="546"/>
      <c r="L357" s="547"/>
      <c r="M357" s="196"/>
      <c r="N357" s="554"/>
      <c r="O357" s="196"/>
      <c r="S357" s="758" t="s">
        <v>163</v>
      </c>
      <c r="T357" s="759"/>
      <c r="U357" s="191" t="s">
        <v>164</v>
      </c>
      <c r="V357" s="191"/>
      <c r="W357" s="132">
        <f>2.4+0.6</f>
        <v>3</v>
      </c>
      <c r="X357" s="132">
        <f>ROUND((3.6/0.2),0)</f>
        <v>18</v>
      </c>
      <c r="Y357" s="132">
        <v>2</v>
      </c>
      <c r="Z357" s="132">
        <f t="shared" ref="Z357:Z374" si="5">+PRODUCT(W357:Y357)</f>
        <v>108</v>
      </c>
      <c r="AA357" s="132" t="s">
        <v>133</v>
      </c>
      <c r="AB357" s="133">
        <v>1.552</v>
      </c>
      <c r="AC357" s="134">
        <f t="shared" ref="AC357:AC374" si="6">+Z357*AB357</f>
        <v>167.61600000000001</v>
      </c>
      <c r="AD357" s="32"/>
      <c r="AE357" s="48"/>
      <c r="AF357" s="48"/>
    </row>
    <row r="358" spans="1:40" ht="15.75" customHeight="1">
      <c r="A358" s="486"/>
      <c r="B358" s="330" t="s">
        <v>80</v>
      </c>
      <c r="C358" s="325" t="s">
        <v>24</v>
      </c>
      <c r="D358" s="328">
        <f>2*0.3*0.3</f>
        <v>0.18</v>
      </c>
      <c r="E358" s="329"/>
      <c r="F358" s="493"/>
      <c r="G358" s="138"/>
      <c r="I358" s="539"/>
      <c r="J358" s="539"/>
      <c r="K358" s="198"/>
      <c r="L358" s="198"/>
      <c r="M358" s="539"/>
      <c r="N358" s="198"/>
      <c r="O358" s="200"/>
      <c r="P358" s="25"/>
      <c r="S358" s="760"/>
      <c r="T358" s="761"/>
      <c r="U358" s="191" t="s">
        <v>165</v>
      </c>
      <c r="V358" s="191"/>
      <c r="W358" s="132">
        <f>3.6-0.1</f>
        <v>3.5</v>
      </c>
      <c r="X358" s="132">
        <f>ROUND((2.4/0.2),0)</f>
        <v>12</v>
      </c>
      <c r="Y358" s="132">
        <v>2</v>
      </c>
      <c r="Z358" s="132">
        <f t="shared" si="5"/>
        <v>84</v>
      </c>
      <c r="AA358" s="132" t="s">
        <v>117</v>
      </c>
      <c r="AB358" s="133">
        <v>0.99399999999999999</v>
      </c>
      <c r="AC358" s="134">
        <f t="shared" si="6"/>
        <v>83.495999999999995</v>
      </c>
      <c r="AD358" s="32"/>
      <c r="AE358" s="217" t="s">
        <v>108</v>
      </c>
      <c r="AF358" s="218"/>
      <c r="AG358" s="218"/>
      <c r="AH358" s="218"/>
      <c r="AI358" s="218"/>
      <c r="AJ358" s="218"/>
      <c r="AK358" s="218"/>
      <c r="AL358" s="218"/>
      <c r="AM358" s="219"/>
      <c r="AN358" s="32"/>
    </row>
    <row r="359" spans="1:40" ht="15.75">
      <c r="A359" s="486"/>
      <c r="B359" s="330" t="s">
        <v>67</v>
      </c>
      <c r="C359" s="327" t="s">
        <v>24</v>
      </c>
      <c r="D359" s="331">
        <f>+D354*0.1</f>
        <v>0.03</v>
      </c>
      <c r="E359" s="329"/>
      <c r="F359" s="493"/>
      <c r="G359" s="138"/>
      <c r="I359" s="190"/>
      <c r="J359" s="190"/>
      <c r="K359" s="174"/>
      <c r="L359" s="174"/>
      <c r="M359" s="93"/>
      <c r="N359" s="174"/>
      <c r="O359" s="93"/>
      <c r="S359" s="758" t="s">
        <v>166</v>
      </c>
      <c r="T359" s="759"/>
      <c r="U359" s="191" t="s">
        <v>164</v>
      </c>
      <c r="V359" s="191"/>
      <c r="W359" s="132">
        <f>2.4+0.6</f>
        <v>3</v>
      </c>
      <c r="X359" s="132">
        <f>ROUND((2.5/0.2),0)</f>
        <v>13</v>
      </c>
      <c r="Y359" s="132">
        <v>2</v>
      </c>
      <c r="Z359" s="132">
        <f t="shared" si="5"/>
        <v>78</v>
      </c>
      <c r="AA359" s="132" t="s">
        <v>133</v>
      </c>
      <c r="AB359" s="133">
        <v>1.552</v>
      </c>
      <c r="AC359" s="134">
        <f t="shared" si="6"/>
        <v>121.056</v>
      </c>
      <c r="AD359" s="32"/>
      <c r="AE359" s="216" t="s">
        <v>46</v>
      </c>
      <c r="AF359" s="221"/>
      <c r="AG359" s="192" t="s">
        <v>109</v>
      </c>
      <c r="AH359" s="192" t="s">
        <v>110</v>
      </c>
      <c r="AI359" s="192"/>
      <c r="AJ359" s="222" t="s">
        <v>111</v>
      </c>
      <c r="AK359" s="222" t="s">
        <v>112</v>
      </c>
      <c r="AL359" s="222" t="s">
        <v>113</v>
      </c>
      <c r="AM359" s="192" t="s">
        <v>114</v>
      </c>
      <c r="AN359" s="32"/>
    </row>
    <row r="360" spans="1:40" ht="30">
      <c r="A360" s="486"/>
      <c r="B360" s="330" t="s">
        <v>231</v>
      </c>
      <c r="C360" s="327" t="s">
        <v>18</v>
      </c>
      <c r="D360" s="328">
        <f>+D354</f>
        <v>0.3</v>
      </c>
      <c r="E360" s="329"/>
      <c r="F360" s="493"/>
      <c r="G360" s="138"/>
      <c r="I360" s="539"/>
      <c r="J360" s="539"/>
      <c r="K360" s="198"/>
      <c r="L360" s="198"/>
      <c r="M360" s="539"/>
      <c r="N360" s="564"/>
      <c r="O360" s="198"/>
      <c r="S360" s="760"/>
      <c r="T360" s="761"/>
      <c r="U360" s="191" t="s">
        <v>165</v>
      </c>
      <c r="V360" s="191"/>
      <c r="W360" s="132">
        <f>2.5-0.1</f>
        <v>2.4</v>
      </c>
      <c r="X360" s="132">
        <f>ROUND((2.4/0.2),0)</f>
        <v>12</v>
      </c>
      <c r="Y360" s="132">
        <v>2</v>
      </c>
      <c r="Z360" s="132">
        <f t="shared" si="5"/>
        <v>57.599999999999994</v>
      </c>
      <c r="AA360" s="132" t="s">
        <v>117</v>
      </c>
      <c r="AB360" s="133">
        <v>0.99399999999999999</v>
      </c>
      <c r="AC360" s="134">
        <f t="shared" si="6"/>
        <v>57.254399999999997</v>
      </c>
      <c r="AD360" s="32"/>
      <c r="AE360" s="750" t="s">
        <v>115</v>
      </c>
      <c r="AF360" s="192" t="s">
        <v>116</v>
      </c>
      <c r="AG360" s="66">
        <v>1</v>
      </c>
      <c r="AH360" s="83">
        <f>ROUND((1/0.15),0)</f>
        <v>7</v>
      </c>
      <c r="AI360" s="83"/>
      <c r="AJ360" s="83">
        <v>2</v>
      </c>
      <c r="AK360" s="83">
        <v>1</v>
      </c>
      <c r="AL360" s="83">
        <f>+PRODUCT(AG360:AK360)</f>
        <v>14</v>
      </c>
      <c r="AM360" s="43" t="s">
        <v>117</v>
      </c>
      <c r="AN360" s="32"/>
    </row>
    <row r="361" spans="1:40" ht="15.75">
      <c r="A361" s="494"/>
      <c r="B361" s="495" t="s">
        <v>261</v>
      </c>
      <c r="C361" s="496" t="s">
        <v>26</v>
      </c>
      <c r="D361" s="497">
        <v>2</v>
      </c>
      <c r="E361" s="498"/>
      <c r="F361" s="493"/>
      <c r="G361" s="138"/>
      <c r="I361" s="190"/>
      <c r="J361" s="227"/>
      <c r="K361" s="228"/>
      <c r="L361" s="293"/>
      <c r="M361" s="580"/>
      <c r="N361" s="295"/>
      <c r="O361" s="200"/>
      <c r="S361" s="758" t="s">
        <v>167</v>
      </c>
      <c r="T361" s="759"/>
      <c r="U361" s="191" t="s">
        <v>164</v>
      </c>
      <c r="V361" s="189"/>
      <c r="W361" s="135">
        <v>2.5</v>
      </c>
      <c r="X361" s="135">
        <v>2</v>
      </c>
      <c r="Y361" s="135">
        <v>2</v>
      </c>
      <c r="Z361" s="132">
        <f t="shared" si="5"/>
        <v>10</v>
      </c>
      <c r="AA361" s="132" t="s">
        <v>133</v>
      </c>
      <c r="AB361" s="133">
        <v>1.552</v>
      </c>
      <c r="AC361" s="134">
        <f t="shared" si="6"/>
        <v>15.52</v>
      </c>
      <c r="AE361" s="751"/>
      <c r="AF361" s="192" t="s">
        <v>118</v>
      </c>
      <c r="AG361" s="83">
        <v>0.5</v>
      </c>
      <c r="AH361" s="83">
        <v>4</v>
      </c>
      <c r="AI361" s="83"/>
      <c r="AJ361" s="83">
        <v>1</v>
      </c>
      <c r="AK361" s="84">
        <v>1</v>
      </c>
      <c r="AL361" s="83">
        <f>+PRODUCT(AG361:AK361)</f>
        <v>2</v>
      </c>
      <c r="AM361" s="43" t="s">
        <v>117</v>
      </c>
      <c r="AN361" s="32"/>
    </row>
    <row r="362" spans="1:40" ht="24.6" customHeight="1">
      <c r="A362" s="488"/>
      <c r="B362" s="490" t="s">
        <v>209</v>
      </c>
      <c r="C362" s="499" t="s">
        <v>26</v>
      </c>
      <c r="D362" s="497">
        <v>6</v>
      </c>
      <c r="E362" s="492"/>
      <c r="F362" s="493"/>
      <c r="G362" s="138"/>
      <c r="I362" s="190"/>
      <c r="J362" s="573"/>
      <c r="K362" s="546"/>
      <c r="L362" s="547"/>
      <c r="M362" s="196"/>
      <c r="N362" s="552"/>
      <c r="O362" s="196"/>
      <c r="S362" s="760"/>
      <c r="T362" s="761"/>
      <c r="U362" s="191" t="s">
        <v>165</v>
      </c>
      <c r="V362" s="191"/>
      <c r="W362" s="134">
        <v>3.6</v>
      </c>
      <c r="X362" s="132">
        <v>2</v>
      </c>
      <c r="Y362" s="135">
        <v>2</v>
      </c>
      <c r="Z362" s="132">
        <f t="shared" si="5"/>
        <v>14.4</v>
      </c>
      <c r="AA362" s="132" t="s">
        <v>133</v>
      </c>
      <c r="AB362" s="133">
        <v>1.552</v>
      </c>
      <c r="AC362" s="134">
        <f t="shared" si="6"/>
        <v>22.348800000000001</v>
      </c>
      <c r="AE362" s="89"/>
      <c r="AF362" s="223" t="s">
        <v>126</v>
      </c>
      <c r="AG362" s="224"/>
      <c r="AH362" s="224"/>
      <c r="AI362" s="224"/>
      <c r="AJ362" s="224"/>
      <c r="AK362" s="225"/>
      <c r="AL362" s="88">
        <f>-(AN363*AL360)/AN362</f>
        <v>-10.99</v>
      </c>
      <c r="AM362" s="54"/>
      <c r="AN362" s="32">
        <v>1</v>
      </c>
    </row>
    <row r="363" spans="1:40" ht="23.45" customHeight="1">
      <c r="A363" s="500"/>
      <c r="B363" s="473" t="s">
        <v>57</v>
      </c>
      <c r="C363" s="327" t="s">
        <v>0</v>
      </c>
      <c r="D363" s="328">
        <v>2</v>
      </c>
      <c r="E363" s="329"/>
      <c r="F363" s="493"/>
      <c r="G363" s="138"/>
      <c r="I363" s="190"/>
      <c r="J363" s="573"/>
      <c r="K363" s="546"/>
      <c r="L363" s="547"/>
      <c r="M363" s="196"/>
      <c r="N363" s="608"/>
      <c r="O363" s="196"/>
      <c r="R363" s="32"/>
      <c r="S363" s="758" t="s">
        <v>168</v>
      </c>
      <c r="T363" s="759"/>
      <c r="U363" s="191" t="s">
        <v>164</v>
      </c>
      <c r="V363" s="191"/>
      <c r="W363" s="132">
        <f>2.5-0.1</f>
        <v>2.4</v>
      </c>
      <c r="X363" s="132">
        <f>ROUND(((2.5-1.2)/0.2),0)</f>
        <v>7</v>
      </c>
      <c r="Y363" s="135">
        <v>1</v>
      </c>
      <c r="Z363" s="132">
        <f t="shared" si="5"/>
        <v>16.8</v>
      </c>
      <c r="AA363" s="132" t="s">
        <v>117</v>
      </c>
      <c r="AB363" s="133">
        <v>0.99399999999999999</v>
      </c>
      <c r="AC363" s="134">
        <f t="shared" si="6"/>
        <v>16.699200000000001</v>
      </c>
      <c r="AE363" s="216" t="s">
        <v>113</v>
      </c>
      <c r="AF363" s="220"/>
      <c r="AG363" s="220"/>
      <c r="AH363" s="220"/>
      <c r="AI363" s="220"/>
      <c r="AJ363" s="220"/>
      <c r="AK363" s="221"/>
      <c r="AL363" s="83">
        <f>SUM(AL360:AL362)</f>
        <v>5.01</v>
      </c>
      <c r="AM363" s="66"/>
      <c r="AN363" s="32">
        <f>0.25*3.14</f>
        <v>0.78500000000000003</v>
      </c>
    </row>
    <row r="364" spans="1:40" ht="20.25" customHeight="1" thickBot="1">
      <c r="A364" s="501" t="s">
        <v>5</v>
      </c>
      <c r="B364" s="502"/>
      <c r="C364" s="502"/>
      <c r="D364" s="502"/>
      <c r="E364" s="502"/>
      <c r="F364" s="503">
        <f>ROUND(SUM(F353:F363),0)</f>
        <v>0</v>
      </c>
      <c r="G364" s="138"/>
      <c r="I364" s="190"/>
      <c r="J364" s="573"/>
      <c r="K364" s="546"/>
      <c r="L364" s="547"/>
      <c r="M364" s="23"/>
      <c r="N364" s="552"/>
      <c r="O364" s="196"/>
      <c r="S364" s="760"/>
      <c r="T364" s="761"/>
      <c r="U364" s="191" t="s">
        <v>165</v>
      </c>
      <c r="V364" s="191"/>
      <c r="W364" s="132">
        <f>3.6-0.1</f>
        <v>3.5</v>
      </c>
      <c r="X364" s="132">
        <f>ROUND(((3.6-1.2)/0.2),0)</f>
        <v>12</v>
      </c>
      <c r="Y364" s="132">
        <v>1</v>
      </c>
      <c r="Z364" s="132">
        <f t="shared" si="5"/>
        <v>42</v>
      </c>
      <c r="AA364" s="132" t="s">
        <v>117</v>
      </c>
      <c r="AB364" s="133">
        <v>0.99399999999999999</v>
      </c>
      <c r="AC364" s="134">
        <f t="shared" si="6"/>
        <v>41.747999999999998</v>
      </c>
      <c r="AE364" s="86"/>
      <c r="AF364" s="72"/>
      <c r="AG364" s="72"/>
      <c r="AH364" s="72"/>
      <c r="AI364" s="72"/>
      <c r="AJ364" s="72"/>
      <c r="AK364" s="72"/>
    </row>
    <row r="365" spans="1:40" ht="15.75">
      <c r="A365" s="300"/>
      <c r="B365" s="300"/>
      <c r="C365" s="300"/>
      <c r="D365" s="300"/>
      <c r="E365" s="300"/>
      <c r="F365" s="304"/>
      <c r="G365" s="138"/>
      <c r="I365" s="190"/>
      <c r="J365" s="573"/>
      <c r="K365" s="546"/>
      <c r="L365" s="547"/>
      <c r="M365" s="23"/>
      <c r="N365" s="552"/>
      <c r="O365" s="196"/>
      <c r="R365" s="32"/>
      <c r="S365" s="762" t="s">
        <v>169</v>
      </c>
      <c r="T365" s="763" t="s">
        <v>170</v>
      </c>
      <c r="U365" s="136" t="s">
        <v>171</v>
      </c>
      <c r="V365" s="136"/>
      <c r="W365" s="132">
        <f>(3.6-0.1)*2+(2.5-0.1)*2</f>
        <v>11.8</v>
      </c>
      <c r="X365" s="134">
        <v>4</v>
      </c>
      <c r="Y365" s="134">
        <v>1</v>
      </c>
      <c r="Z365" s="132">
        <f t="shared" si="5"/>
        <v>47.2</v>
      </c>
      <c r="AA365" s="132" t="s">
        <v>117</v>
      </c>
      <c r="AB365" s="133">
        <v>0.99399999999999999</v>
      </c>
      <c r="AC365" s="134">
        <f t="shared" si="6"/>
        <v>46.916800000000002</v>
      </c>
      <c r="AE365" s="72"/>
      <c r="AF365" s="72"/>
      <c r="AG365" s="72"/>
      <c r="AH365" s="72"/>
      <c r="AI365" s="72"/>
      <c r="AJ365" s="72"/>
      <c r="AK365" s="72"/>
    </row>
    <row r="366" spans="1:40" ht="23.45" customHeight="1" thickBot="1">
      <c r="A366" s="300"/>
      <c r="B366" s="300"/>
      <c r="C366" s="300"/>
      <c r="D366" s="300"/>
      <c r="E366" s="300"/>
      <c r="F366" s="304"/>
      <c r="G366" s="138"/>
      <c r="I366" s="190"/>
      <c r="J366" s="545"/>
      <c r="K366" s="190"/>
      <c r="L366" s="547"/>
      <c r="M366" s="196"/>
      <c r="N366" s="552"/>
      <c r="O366" s="196"/>
      <c r="R366" s="32"/>
      <c r="S366" s="762"/>
      <c r="T366" s="763"/>
      <c r="U366" s="136" t="s">
        <v>172</v>
      </c>
      <c r="V366" s="136"/>
      <c r="W366" s="132">
        <f>+(0.12+0.17+0.1)*2</f>
        <v>0.78</v>
      </c>
      <c r="X366" s="134">
        <f>+ROUNDUP((W365/3)*2*2,0)/0.12</f>
        <v>133.33333333333334</v>
      </c>
      <c r="Y366" s="134">
        <v>1</v>
      </c>
      <c r="Z366" s="132">
        <f t="shared" si="5"/>
        <v>104.00000000000001</v>
      </c>
      <c r="AA366" s="132" t="s">
        <v>130</v>
      </c>
      <c r="AB366" s="133">
        <v>0.56000000000000005</v>
      </c>
      <c r="AC366" s="134">
        <f t="shared" si="6"/>
        <v>58.240000000000016</v>
      </c>
      <c r="AE366" s="216" t="s">
        <v>119</v>
      </c>
      <c r="AF366" s="220"/>
      <c r="AG366" s="220"/>
      <c r="AH366" s="220"/>
      <c r="AI366" s="220"/>
      <c r="AJ366" s="220"/>
      <c r="AK366" s="221"/>
    </row>
    <row r="367" spans="1:40" ht="15.75">
      <c r="A367" s="484"/>
      <c r="B367" s="741" t="s">
        <v>266</v>
      </c>
      <c r="C367" s="742"/>
      <c r="D367" s="742"/>
      <c r="E367" s="743"/>
      <c r="F367" s="485" t="s">
        <v>105</v>
      </c>
      <c r="G367" s="138"/>
      <c r="I367" s="539"/>
      <c r="J367" s="539"/>
      <c r="K367" s="198"/>
      <c r="L367" s="198"/>
      <c r="M367" s="539"/>
      <c r="N367" s="198"/>
      <c r="O367" s="200"/>
      <c r="R367" s="32"/>
      <c r="S367" s="762"/>
      <c r="T367" s="763"/>
      <c r="U367" s="136" t="s">
        <v>173</v>
      </c>
      <c r="V367" s="136"/>
      <c r="W367" s="132">
        <f>+(0.12+0.17+0.1)*2</f>
        <v>0.78</v>
      </c>
      <c r="X367" s="134">
        <f>+ROUNDUP((W365/3),0)/0.1</f>
        <v>40</v>
      </c>
      <c r="Y367" s="134">
        <v>1</v>
      </c>
      <c r="Z367" s="132">
        <f t="shared" si="5"/>
        <v>31.200000000000003</v>
      </c>
      <c r="AA367" s="132" t="s">
        <v>130</v>
      </c>
      <c r="AB367" s="133">
        <v>0.56000000000000005</v>
      </c>
      <c r="AC367" s="134">
        <f t="shared" si="6"/>
        <v>17.472000000000005</v>
      </c>
      <c r="AE367" s="192"/>
      <c r="AF367" s="192"/>
      <c r="AG367" s="192"/>
      <c r="AH367" s="192"/>
      <c r="AI367" s="192"/>
      <c r="AJ367" s="192"/>
      <c r="AK367" s="192"/>
    </row>
    <row r="368" spans="1:40" ht="15.75">
      <c r="A368" s="486" t="s">
        <v>273</v>
      </c>
      <c r="B368" s="487" t="s">
        <v>7</v>
      </c>
      <c r="C368" s="488" t="s">
        <v>0</v>
      </c>
      <c r="D368" s="488" t="s">
        <v>8</v>
      </c>
      <c r="E368" s="488" t="s">
        <v>2</v>
      </c>
      <c r="F368" s="489" t="s">
        <v>9</v>
      </c>
      <c r="G368" s="138"/>
      <c r="I368" s="190"/>
      <c r="J368" s="190"/>
      <c r="K368" s="174"/>
      <c r="L368" s="174"/>
      <c r="M368" s="93"/>
      <c r="N368" s="174"/>
      <c r="O368" s="93"/>
      <c r="R368" s="32"/>
      <c r="S368" s="762"/>
      <c r="T368" s="763" t="s">
        <v>174</v>
      </c>
      <c r="U368" s="136" t="s">
        <v>171</v>
      </c>
      <c r="V368" s="136"/>
      <c r="W368" s="132">
        <f>(2.1-0.1)*2+(1.8-0.1)*2</f>
        <v>7.4</v>
      </c>
      <c r="X368" s="134">
        <v>4</v>
      </c>
      <c r="Y368" s="134">
        <v>1</v>
      </c>
      <c r="Z368" s="132">
        <f t="shared" si="5"/>
        <v>29.6</v>
      </c>
      <c r="AA368" s="132" t="s">
        <v>133</v>
      </c>
      <c r="AB368" s="133">
        <v>1.552</v>
      </c>
      <c r="AC368" s="134">
        <f t="shared" si="6"/>
        <v>45.939200000000007</v>
      </c>
      <c r="AE368" s="213" t="s">
        <v>46</v>
      </c>
      <c r="AF368" s="226" t="s">
        <v>120</v>
      </c>
      <c r="AG368" s="226" t="s">
        <v>121</v>
      </c>
      <c r="AH368" s="226" t="s">
        <v>122</v>
      </c>
      <c r="AI368" s="226"/>
      <c r="AJ368" s="226" t="s">
        <v>111</v>
      </c>
      <c r="AK368" s="226" t="s">
        <v>123</v>
      </c>
    </row>
    <row r="369" spans="1:37" ht="15.75">
      <c r="A369" s="486"/>
      <c r="B369" s="490" t="s">
        <v>65</v>
      </c>
      <c r="C369" s="420" t="s">
        <v>23</v>
      </c>
      <c r="D369" s="491">
        <v>12</v>
      </c>
      <c r="E369" s="492"/>
      <c r="F369" s="493"/>
      <c r="G369" s="138"/>
      <c r="I369" s="539"/>
      <c r="J369" s="539"/>
      <c r="K369" s="198"/>
      <c r="L369" s="198"/>
      <c r="M369" s="539"/>
      <c r="N369" s="564"/>
      <c r="O369" s="198"/>
      <c r="R369" s="32"/>
      <c r="S369" s="762"/>
      <c r="T369" s="763"/>
      <c r="U369" s="136" t="s">
        <v>172</v>
      </c>
      <c r="V369" s="136"/>
      <c r="W369" s="132">
        <f>+(0.12+0.17+0.1)*2</f>
        <v>0.78</v>
      </c>
      <c r="X369" s="134">
        <f>+ROUNDUP((W368/3)*2*1,0)/0.12</f>
        <v>41.666666666666671</v>
      </c>
      <c r="Y369" s="134">
        <v>1</v>
      </c>
      <c r="Z369" s="132">
        <f t="shared" si="5"/>
        <v>32.500000000000007</v>
      </c>
      <c r="AA369" s="132" t="s">
        <v>130</v>
      </c>
      <c r="AB369" s="133">
        <v>0.56000000000000005</v>
      </c>
      <c r="AC369" s="134">
        <f t="shared" si="6"/>
        <v>18.200000000000006</v>
      </c>
      <c r="AE369" s="69" t="s">
        <v>124</v>
      </c>
      <c r="AF369" s="83">
        <v>1</v>
      </c>
      <c r="AG369" s="83">
        <v>0.1</v>
      </c>
      <c r="AH369" s="83">
        <v>1</v>
      </c>
      <c r="AI369" s="83"/>
      <c r="AJ369" s="83">
        <v>2</v>
      </c>
      <c r="AK369" s="88">
        <f>+AJ369*AH369*AG369*AF369</f>
        <v>0.2</v>
      </c>
    </row>
    <row r="370" spans="1:37" ht="15.75" customHeight="1">
      <c r="A370" s="486"/>
      <c r="B370" s="490" t="s">
        <v>66</v>
      </c>
      <c r="C370" s="420" t="s">
        <v>18</v>
      </c>
      <c r="D370" s="491">
        <f>6*0.5</f>
        <v>3</v>
      </c>
      <c r="E370" s="492"/>
      <c r="F370" s="493"/>
      <c r="G370" s="138"/>
      <c r="I370" s="190"/>
      <c r="J370" s="227"/>
      <c r="K370" s="228"/>
      <c r="L370" s="293"/>
      <c r="M370" s="200"/>
      <c r="N370" s="295"/>
      <c r="O370" s="199"/>
      <c r="R370" s="32"/>
      <c r="S370" s="762"/>
      <c r="T370" s="763"/>
      <c r="U370" s="136" t="s">
        <v>173</v>
      </c>
      <c r="V370" s="136"/>
      <c r="W370" s="132">
        <f>+(0.12+0.17+0.1)*2</f>
        <v>0.78</v>
      </c>
      <c r="X370" s="134">
        <f>+ROUNDUP((W368/3)*1,0)/0.1</f>
        <v>30</v>
      </c>
      <c r="Y370" s="134">
        <v>1</v>
      </c>
      <c r="Z370" s="132">
        <f t="shared" si="5"/>
        <v>23.400000000000002</v>
      </c>
      <c r="AA370" s="132" t="s">
        <v>130</v>
      </c>
      <c r="AB370" s="133">
        <v>0.56000000000000005</v>
      </c>
      <c r="AC370" s="134">
        <f t="shared" si="6"/>
        <v>13.104000000000003</v>
      </c>
      <c r="AE370" s="69" t="s">
        <v>124</v>
      </c>
      <c r="AF370" s="83">
        <v>1</v>
      </c>
      <c r="AG370" s="83">
        <v>0.1</v>
      </c>
      <c r="AH370" s="301">
        <v>0.8</v>
      </c>
      <c r="AI370" s="83"/>
      <c r="AJ370" s="83">
        <v>2</v>
      </c>
      <c r="AK370" s="88">
        <f>+AJ370*AH370*AG370*AF370</f>
        <v>0.16000000000000003</v>
      </c>
    </row>
    <row r="371" spans="1:37" ht="15.75">
      <c r="A371" s="486"/>
      <c r="B371" s="330" t="s">
        <v>62</v>
      </c>
      <c r="C371" s="327" t="s">
        <v>24</v>
      </c>
      <c r="D371" s="331">
        <f>6*0.5*0.5</f>
        <v>1.5</v>
      </c>
      <c r="E371" s="329"/>
      <c r="F371" s="493"/>
      <c r="G371" s="138"/>
      <c r="I371" s="190"/>
      <c r="J371" s="573"/>
      <c r="K371" s="546"/>
      <c r="L371" s="547"/>
      <c r="M371" s="196"/>
      <c r="N371" s="552"/>
      <c r="O371" s="196"/>
      <c r="R371" s="32"/>
      <c r="S371" s="748" t="s">
        <v>175</v>
      </c>
      <c r="T371" s="748" t="s">
        <v>176</v>
      </c>
      <c r="U371" s="136" t="s">
        <v>139</v>
      </c>
      <c r="V371" s="136"/>
      <c r="W371" s="132">
        <v>1.8</v>
      </c>
      <c r="X371" s="134">
        <f>0.2/0.2</f>
        <v>1</v>
      </c>
      <c r="Y371" s="134">
        <v>2</v>
      </c>
      <c r="Z371" s="132">
        <f t="shared" si="5"/>
        <v>3.6</v>
      </c>
      <c r="AA371" s="132" t="s">
        <v>130</v>
      </c>
      <c r="AB371" s="133">
        <v>0.56000000000000005</v>
      </c>
      <c r="AC371" s="134">
        <f t="shared" si="6"/>
        <v>2.0160000000000005</v>
      </c>
      <c r="AE371" s="61" t="s">
        <v>125</v>
      </c>
      <c r="AF371" s="66">
        <v>0.08</v>
      </c>
      <c r="AG371" s="66">
        <v>1</v>
      </c>
      <c r="AH371" s="302">
        <v>1</v>
      </c>
      <c r="AI371" s="66"/>
      <c r="AJ371" s="83">
        <v>1</v>
      </c>
      <c r="AK371" s="88">
        <f>+AJ371*AH371*AG371*AF371</f>
        <v>0.08</v>
      </c>
    </row>
    <row r="372" spans="1:37" ht="15.75">
      <c r="A372" s="486"/>
      <c r="B372" s="330" t="s">
        <v>56</v>
      </c>
      <c r="C372" s="327" t="s">
        <v>24</v>
      </c>
      <c r="D372" s="331">
        <f>D370*0.12+(6*0.1*0.5)</f>
        <v>0.66</v>
      </c>
      <c r="E372" s="329"/>
      <c r="F372" s="493"/>
      <c r="G372" s="138"/>
      <c r="I372" s="190"/>
      <c r="J372" s="573"/>
      <c r="K372" s="546"/>
      <c r="L372" s="547"/>
      <c r="M372" s="196"/>
      <c r="N372" s="552"/>
      <c r="O372" s="196"/>
      <c r="R372" s="32"/>
      <c r="S372" s="764"/>
      <c r="T372" s="749"/>
      <c r="U372" s="136" t="s">
        <v>177</v>
      </c>
      <c r="V372" s="136"/>
      <c r="W372" s="132">
        <v>0.2</v>
      </c>
      <c r="X372" s="134">
        <f>1.8/0.2</f>
        <v>9</v>
      </c>
      <c r="Y372" s="134">
        <v>2</v>
      </c>
      <c r="Z372" s="132">
        <f t="shared" si="5"/>
        <v>3.6</v>
      </c>
      <c r="AA372" s="132" t="s">
        <v>130</v>
      </c>
      <c r="AB372" s="133">
        <v>0.56000000000000005</v>
      </c>
      <c r="AC372" s="134">
        <f t="shared" si="6"/>
        <v>2.0160000000000005</v>
      </c>
      <c r="AE372" s="69" t="s">
        <v>127</v>
      </c>
      <c r="AF372" s="43">
        <v>0.08</v>
      </c>
      <c r="AG372" s="43"/>
      <c r="AH372" s="43"/>
      <c r="AI372" s="43"/>
      <c r="AJ372" s="88"/>
      <c r="AK372" s="88">
        <f>-(PI()*0.25*0.25)*AF372</f>
        <v>-1.5707963267948967E-2</v>
      </c>
    </row>
    <row r="373" spans="1:37" ht="15.75">
      <c r="A373" s="486"/>
      <c r="B373" s="330" t="s">
        <v>35</v>
      </c>
      <c r="C373" s="327" t="s">
        <v>24</v>
      </c>
      <c r="D373" s="331">
        <f>+D372</f>
        <v>0.66</v>
      </c>
      <c r="E373" s="329"/>
      <c r="F373" s="493"/>
      <c r="G373" s="138"/>
      <c r="I373" s="190"/>
      <c r="J373" s="573"/>
      <c r="K373" s="546"/>
      <c r="L373" s="547"/>
      <c r="M373" s="196"/>
      <c r="N373" s="552"/>
      <c r="O373" s="196"/>
      <c r="R373" s="32"/>
      <c r="S373" s="764"/>
      <c r="T373" s="748" t="s">
        <v>178</v>
      </c>
      <c r="U373" s="136" t="s">
        <v>139</v>
      </c>
      <c r="V373" s="136"/>
      <c r="W373" s="132">
        <v>1.8</v>
      </c>
      <c r="X373" s="134">
        <f>0.2/0.15</f>
        <v>1.3333333333333335</v>
      </c>
      <c r="Y373" s="134">
        <v>2</v>
      </c>
      <c r="Z373" s="132">
        <f t="shared" si="5"/>
        <v>4.8000000000000007</v>
      </c>
      <c r="AA373" s="132" t="s">
        <v>117</v>
      </c>
      <c r="AB373" s="133">
        <v>0.99399999999999999</v>
      </c>
      <c r="AC373" s="134">
        <f t="shared" si="6"/>
        <v>4.7712000000000003</v>
      </c>
      <c r="AE373" s="216" t="s">
        <v>113</v>
      </c>
      <c r="AF373" s="220"/>
      <c r="AG373" s="220"/>
      <c r="AH373" s="220"/>
      <c r="AI373" s="220"/>
      <c r="AJ373" s="221"/>
      <c r="AK373" s="60">
        <f>SUM(AK369:AK372)</f>
        <v>0.42429203673205107</v>
      </c>
    </row>
    <row r="374" spans="1:37" ht="15.75">
      <c r="A374" s="486"/>
      <c r="B374" s="330" t="s">
        <v>80</v>
      </c>
      <c r="C374" s="325" t="s">
        <v>24</v>
      </c>
      <c r="D374" s="328">
        <f>0.5*0.3*6</f>
        <v>0.89999999999999991</v>
      </c>
      <c r="E374" s="329"/>
      <c r="F374" s="493"/>
      <c r="G374" s="138"/>
      <c r="I374" s="539"/>
      <c r="J374" s="539"/>
      <c r="K374" s="198"/>
      <c r="L374" s="198"/>
      <c r="M374" s="539"/>
      <c r="N374" s="198"/>
      <c r="O374" s="200"/>
      <c r="R374" s="32"/>
      <c r="S374" s="749"/>
      <c r="T374" s="749"/>
      <c r="U374" s="136" t="s">
        <v>177</v>
      </c>
      <c r="V374" s="136"/>
      <c r="W374" s="132">
        <v>0.2</v>
      </c>
      <c r="X374" s="134">
        <f>1.8/0.15</f>
        <v>12</v>
      </c>
      <c r="Y374" s="134">
        <v>2</v>
      </c>
      <c r="Z374" s="132">
        <f t="shared" si="5"/>
        <v>4.8000000000000007</v>
      </c>
      <c r="AA374" s="132" t="s">
        <v>117</v>
      </c>
      <c r="AB374" s="133">
        <v>0.99399999999999999</v>
      </c>
      <c r="AC374" s="134">
        <f t="shared" si="6"/>
        <v>4.7712000000000003</v>
      </c>
    </row>
    <row r="375" spans="1:37" ht="15.75">
      <c r="A375" s="486"/>
      <c r="B375" s="330" t="s">
        <v>67</v>
      </c>
      <c r="C375" s="327" t="s">
        <v>24</v>
      </c>
      <c r="D375" s="331">
        <f>+D370*0.1</f>
        <v>0.30000000000000004</v>
      </c>
      <c r="E375" s="329"/>
      <c r="F375" s="493"/>
      <c r="G375" s="138"/>
      <c r="I375" s="190"/>
      <c r="J375" s="190"/>
      <c r="K375" s="174"/>
      <c r="L375" s="174"/>
      <c r="M375" s="93"/>
      <c r="N375" s="174"/>
      <c r="O375" s="93"/>
      <c r="R375" s="32"/>
      <c r="S375" s="755" t="s">
        <v>113</v>
      </c>
      <c r="T375" s="756"/>
      <c r="U375" s="756"/>
      <c r="V375" s="756"/>
      <c r="W375" s="756"/>
      <c r="X375" s="756"/>
      <c r="Y375" s="756"/>
      <c r="Z375" s="756"/>
      <c r="AA375" s="756"/>
      <c r="AB375" s="757"/>
      <c r="AC375" s="130">
        <f>+SUM(AC357:AC374)</f>
        <v>739.1848</v>
      </c>
    </row>
    <row r="376" spans="1:37" ht="26.25" customHeight="1">
      <c r="A376" s="486"/>
      <c r="B376" s="330" t="s">
        <v>231</v>
      </c>
      <c r="C376" s="327" t="s">
        <v>18</v>
      </c>
      <c r="D376" s="328">
        <f>+D370</f>
        <v>3</v>
      </c>
      <c r="E376" s="329"/>
      <c r="F376" s="493"/>
      <c r="G376" s="138"/>
      <c r="I376" s="190"/>
      <c r="J376" s="190"/>
      <c r="K376" s="174"/>
      <c r="L376" s="174"/>
      <c r="M376" s="93"/>
      <c r="N376" s="174"/>
      <c r="O376" s="93"/>
      <c r="R376" s="32"/>
      <c r="S376" s="32"/>
      <c r="T376" s="32"/>
      <c r="U376" s="32"/>
      <c r="V376" s="32"/>
      <c r="W376" s="32"/>
    </row>
    <row r="377" spans="1:37" ht="15.75" customHeight="1">
      <c r="A377" s="494"/>
      <c r="B377" s="495" t="s">
        <v>71</v>
      </c>
      <c r="C377" s="496" t="s">
        <v>26</v>
      </c>
      <c r="D377" s="497">
        <v>2</v>
      </c>
      <c r="E377" s="498"/>
      <c r="F377" s="493"/>
      <c r="G377" s="138"/>
      <c r="I377" s="539"/>
      <c r="J377" s="539"/>
      <c r="K377" s="198"/>
      <c r="L377" s="198"/>
      <c r="M377" s="539"/>
      <c r="N377" s="564"/>
      <c r="O377" s="198"/>
      <c r="R377" s="32"/>
      <c r="S377" s="32"/>
      <c r="T377" s="32"/>
      <c r="U377" s="32"/>
      <c r="V377" s="32"/>
      <c r="W377" s="32"/>
    </row>
    <row r="378" spans="1:37" ht="32.25" customHeight="1">
      <c r="A378" s="488"/>
      <c r="B378" s="490" t="s">
        <v>34</v>
      </c>
      <c r="C378" s="499" t="s">
        <v>26</v>
      </c>
      <c r="D378" s="497">
        <v>12</v>
      </c>
      <c r="E378" s="492"/>
      <c r="F378" s="493"/>
      <c r="G378" s="138"/>
      <c r="I378" s="190"/>
      <c r="J378" s="565"/>
      <c r="K378" s="228"/>
      <c r="L378" s="293"/>
      <c r="M378" s="200"/>
      <c r="N378" s="295"/>
      <c r="O378" s="200"/>
      <c r="R378" s="32"/>
      <c r="S378" s="32"/>
      <c r="T378" s="32"/>
      <c r="U378" s="755" t="s">
        <v>137</v>
      </c>
      <c r="V378" s="756"/>
      <c r="W378" s="218"/>
      <c r="X378" s="218"/>
      <c r="Y378" s="218"/>
      <c r="Z378" s="218"/>
      <c r="AA378" s="218"/>
      <c r="AB378" s="218"/>
      <c r="AC378" s="219"/>
    </row>
    <row r="379" spans="1:37" ht="23.45" customHeight="1">
      <c r="A379" s="500"/>
      <c r="B379" s="473" t="s">
        <v>57</v>
      </c>
      <c r="C379" s="327" t="s">
        <v>0</v>
      </c>
      <c r="D379" s="328">
        <v>2</v>
      </c>
      <c r="E379" s="329"/>
      <c r="F379" s="493"/>
      <c r="G379" s="138"/>
      <c r="I379" s="190"/>
      <c r="J379" s="545"/>
      <c r="K379" s="546"/>
      <c r="L379" s="547"/>
      <c r="M379" s="196"/>
      <c r="N379" s="552"/>
      <c r="O379" s="196"/>
      <c r="R379" s="32"/>
      <c r="S379" s="32"/>
      <c r="T379" s="32"/>
      <c r="U379" s="192" t="s">
        <v>46</v>
      </c>
      <c r="V379" s="192"/>
      <c r="W379" s="192" t="s">
        <v>109</v>
      </c>
      <c r="X379" s="192" t="s">
        <v>110</v>
      </c>
      <c r="Y379" s="192"/>
      <c r="Z379" s="222" t="s">
        <v>111</v>
      </c>
      <c r="AA379" s="222" t="s">
        <v>112</v>
      </c>
      <c r="AB379" s="222" t="s">
        <v>113</v>
      </c>
      <c r="AC379" s="192" t="s">
        <v>114</v>
      </c>
    </row>
    <row r="380" spans="1:37" ht="16.5" thickBot="1">
      <c r="A380" s="501" t="s">
        <v>5</v>
      </c>
      <c r="B380" s="502"/>
      <c r="C380" s="502"/>
      <c r="D380" s="502"/>
      <c r="E380" s="502"/>
      <c r="F380" s="503">
        <f>ROUND(SUM(F369:F379),0)</f>
        <v>0</v>
      </c>
      <c r="G380" s="138"/>
      <c r="I380" s="190"/>
      <c r="J380" s="545"/>
      <c r="K380" s="546"/>
      <c r="L380" s="547"/>
      <c r="M380" s="196"/>
      <c r="N380" s="552"/>
      <c r="O380" s="196"/>
      <c r="R380" s="32"/>
      <c r="S380" s="32"/>
      <c r="T380" s="32"/>
      <c r="U380" s="226" t="s">
        <v>128</v>
      </c>
      <c r="V380" s="192" t="s">
        <v>129</v>
      </c>
      <c r="W380" s="88">
        <f>1.2+0.12+0.3</f>
        <v>1.6199999999999999</v>
      </c>
      <c r="X380" s="88">
        <f>ROUND((1/0.2),0)</f>
        <v>5</v>
      </c>
      <c r="Y380" s="88"/>
      <c r="Z380" s="88">
        <v>2</v>
      </c>
      <c r="AA380" s="43">
        <v>0.99399999999999999</v>
      </c>
      <c r="AB380" s="88">
        <f t="shared" ref="AB380:AB384" si="7">+PRODUCT(W380:AA380)</f>
        <v>16.102799999999998</v>
      </c>
      <c r="AC380" s="43" t="s">
        <v>117</v>
      </c>
    </row>
    <row r="381" spans="1:37" ht="15.75">
      <c r="G381" s="138"/>
      <c r="I381" s="190"/>
      <c r="J381" s="545"/>
      <c r="K381" s="546"/>
      <c r="L381" s="547"/>
      <c r="M381" s="196"/>
      <c r="N381" s="552"/>
      <c r="O381" s="196"/>
      <c r="R381" s="32"/>
      <c r="S381" s="32"/>
      <c r="T381" s="32"/>
      <c r="U381" s="226"/>
      <c r="V381" s="192" t="s">
        <v>120</v>
      </c>
      <c r="W381" s="88">
        <v>1.3</v>
      </c>
      <c r="X381" s="88">
        <f>ROUND((1.32/0.2),0)</f>
        <v>7</v>
      </c>
      <c r="Y381" s="88"/>
      <c r="Z381" s="88">
        <v>2</v>
      </c>
      <c r="AA381" s="54">
        <v>0.56000000000000005</v>
      </c>
      <c r="AB381" s="88">
        <f t="shared" si="7"/>
        <v>10.192</v>
      </c>
      <c r="AC381" s="54" t="s">
        <v>130</v>
      </c>
    </row>
    <row r="382" spans="1:37" ht="30.6" customHeight="1" thickBot="1">
      <c r="G382" s="138"/>
      <c r="I382" s="190"/>
      <c r="J382" s="545"/>
      <c r="K382" s="546"/>
      <c r="L382" s="547"/>
      <c r="M382" s="196"/>
      <c r="N382" s="552"/>
      <c r="O382" s="196"/>
      <c r="R382" s="32"/>
      <c r="S382" s="32"/>
      <c r="T382" s="32"/>
      <c r="U382" s="226" t="s">
        <v>138</v>
      </c>
      <c r="V382" s="192" t="s">
        <v>139</v>
      </c>
      <c r="W382" s="88">
        <v>1.3</v>
      </c>
      <c r="X382" s="88">
        <v>2</v>
      </c>
      <c r="Y382" s="88"/>
      <c r="Z382" s="88">
        <v>1</v>
      </c>
      <c r="AA382" s="54">
        <v>0.56000000000000005</v>
      </c>
      <c r="AB382" s="88">
        <f t="shared" si="7"/>
        <v>1.4560000000000002</v>
      </c>
      <c r="AC382" s="54" t="s">
        <v>130</v>
      </c>
    </row>
    <row r="383" spans="1:37" ht="16.5" thickBot="1">
      <c r="A383" s="309"/>
      <c r="B383" s="700" t="s">
        <v>185</v>
      </c>
      <c r="C383" s="700"/>
      <c r="D383" s="700"/>
      <c r="E383" s="700"/>
      <c r="F383" s="310" t="s">
        <v>182</v>
      </c>
      <c r="G383" s="138"/>
      <c r="I383" s="190"/>
      <c r="J383" s="545"/>
      <c r="K383" s="546"/>
      <c r="L383" s="547"/>
      <c r="M383" s="196"/>
      <c r="N383" s="552"/>
      <c r="O383" s="196"/>
      <c r="Q383" s="32"/>
      <c r="R383" s="32"/>
      <c r="S383" s="32"/>
      <c r="T383" s="32"/>
      <c r="U383" s="226" t="s">
        <v>115</v>
      </c>
      <c r="V383" s="192" t="s">
        <v>140</v>
      </c>
      <c r="W383" s="43">
        <f>0.15+0.17+1+0.1</f>
        <v>1.4200000000000002</v>
      </c>
      <c r="X383" s="88">
        <f>ROUND((1/0.15),0)</f>
        <v>7</v>
      </c>
      <c r="Y383" s="88"/>
      <c r="Z383" s="88">
        <v>1</v>
      </c>
      <c r="AA383" s="43">
        <v>0.99399999999999999</v>
      </c>
      <c r="AB383" s="88">
        <f t="shared" si="7"/>
        <v>9.8803600000000014</v>
      </c>
      <c r="AC383" s="43" t="s">
        <v>117</v>
      </c>
    </row>
    <row r="384" spans="1:37" ht="16.5" thickBot="1">
      <c r="A384" s="510"/>
      <c r="B384" s="232"/>
      <c r="C384" s="242"/>
      <c r="D384" s="242"/>
      <c r="E384" s="242"/>
      <c r="F384" s="511"/>
      <c r="G384" s="138"/>
      <c r="I384" s="190"/>
      <c r="J384" s="545"/>
      <c r="K384" s="546"/>
      <c r="L384" s="547"/>
      <c r="M384" s="196"/>
      <c r="N384" s="552"/>
      <c r="O384" s="196"/>
      <c r="Q384" s="32"/>
      <c r="R384" s="32"/>
      <c r="S384" s="32"/>
      <c r="T384" s="32"/>
      <c r="U384" s="226"/>
      <c r="V384" s="192" t="s">
        <v>139</v>
      </c>
      <c r="W384" s="88">
        <v>1.3</v>
      </c>
      <c r="X384" s="88">
        <f>ROUND((1.3/0.2),0)</f>
        <v>7</v>
      </c>
      <c r="Y384" s="88"/>
      <c r="Z384" s="88">
        <v>1</v>
      </c>
      <c r="AA384" s="54">
        <v>0.56000000000000005</v>
      </c>
      <c r="AB384" s="88">
        <f t="shared" si="7"/>
        <v>5.0960000000000001</v>
      </c>
      <c r="AC384" s="54" t="s">
        <v>130</v>
      </c>
    </row>
    <row r="385" spans="1:29" ht="16.5" thickBot="1">
      <c r="A385" s="344" t="s">
        <v>274</v>
      </c>
      <c r="B385" s="345" t="s">
        <v>7</v>
      </c>
      <c r="C385" s="346" t="s">
        <v>0</v>
      </c>
      <c r="D385" s="346" t="s">
        <v>8</v>
      </c>
      <c r="E385" s="346" t="s">
        <v>2</v>
      </c>
      <c r="F385" s="53" t="s">
        <v>9</v>
      </c>
      <c r="G385" s="138"/>
      <c r="I385" s="190"/>
      <c r="J385" s="545"/>
      <c r="K385" s="546"/>
      <c r="L385" s="547"/>
      <c r="M385" s="196"/>
      <c r="N385" s="608"/>
      <c r="O385" s="196"/>
      <c r="Q385" s="32"/>
      <c r="R385" s="32"/>
      <c r="S385" s="32"/>
      <c r="T385" s="32"/>
      <c r="U385" s="192" t="s">
        <v>113</v>
      </c>
      <c r="V385" s="192"/>
      <c r="W385" s="192"/>
      <c r="X385" s="192"/>
      <c r="Y385" s="192"/>
      <c r="Z385" s="192"/>
      <c r="AA385" s="192"/>
      <c r="AB385" s="130">
        <f>SUM(AB380:AB384)</f>
        <v>42.727159999999998</v>
      </c>
      <c r="AC385" s="43"/>
    </row>
    <row r="386" spans="1:29">
      <c r="A386" s="512"/>
      <c r="B386" s="513" t="s">
        <v>31</v>
      </c>
      <c r="C386" s="514" t="s">
        <v>32</v>
      </c>
      <c r="D386" s="515">
        <v>1.5</v>
      </c>
      <c r="E386" s="319"/>
      <c r="F386" s="320"/>
      <c r="G386" s="138"/>
      <c r="I386" s="190"/>
      <c r="J386" s="545"/>
      <c r="K386" s="546"/>
      <c r="L386" s="547"/>
      <c r="M386" s="196"/>
      <c r="N386" s="552"/>
      <c r="O386" s="196"/>
      <c r="Q386" s="32"/>
      <c r="R386" s="32"/>
      <c r="S386" s="32"/>
      <c r="T386" s="32"/>
      <c r="U386" s="48"/>
      <c r="V386" s="48"/>
    </row>
    <row r="387" spans="1:29" ht="30">
      <c r="A387" s="315"/>
      <c r="B387" s="316" t="s">
        <v>53</v>
      </c>
      <c r="C387" s="327" t="s">
        <v>32</v>
      </c>
      <c r="D387" s="328">
        <v>1</v>
      </c>
      <c r="E387" s="329"/>
      <c r="F387" s="320"/>
      <c r="G387" s="138"/>
      <c r="I387" s="190"/>
      <c r="J387" s="545"/>
      <c r="K387" s="546"/>
      <c r="L387" s="547"/>
      <c r="M387" s="196"/>
      <c r="N387" s="552"/>
      <c r="O387" s="196"/>
      <c r="Q387" s="32"/>
      <c r="R387" s="32"/>
      <c r="S387" s="32"/>
      <c r="T387" s="32"/>
      <c r="U387" s="48"/>
      <c r="V387" s="48"/>
    </row>
    <row r="388" spans="1:29" ht="15.75">
      <c r="A388" s="516"/>
      <c r="B388" s="316" t="s">
        <v>33</v>
      </c>
      <c r="C388" s="325" t="s">
        <v>37</v>
      </c>
      <c r="D388" s="326">
        <v>0.2</v>
      </c>
      <c r="E388" s="319"/>
      <c r="F388" s="320"/>
      <c r="G388" s="138"/>
      <c r="I388" s="190"/>
      <c r="J388" s="545"/>
      <c r="K388" s="546"/>
      <c r="L388" s="547"/>
      <c r="M388" s="196"/>
      <c r="N388" s="554"/>
      <c r="O388" s="196"/>
      <c r="Q388" s="32"/>
      <c r="R388" s="32"/>
      <c r="S388" s="32"/>
      <c r="T388" s="32"/>
      <c r="U388" s="752" t="s">
        <v>141</v>
      </c>
      <c r="V388" s="753"/>
      <c r="W388" s="220"/>
      <c r="X388" s="220"/>
      <c r="Y388" s="220"/>
      <c r="Z388" s="220"/>
      <c r="AA388" s="221"/>
    </row>
    <row r="389" spans="1:29" ht="15.75">
      <c r="A389" s="315"/>
      <c r="B389" s="415" t="s">
        <v>65</v>
      </c>
      <c r="C389" s="325" t="s">
        <v>32</v>
      </c>
      <c r="D389" s="326">
        <v>2</v>
      </c>
      <c r="E389" s="319"/>
      <c r="F389" s="320"/>
      <c r="G389" s="138"/>
      <c r="I389" s="539"/>
      <c r="J389" s="539"/>
      <c r="K389" s="198"/>
      <c r="L389" s="198"/>
      <c r="M389" s="539"/>
      <c r="N389" s="198"/>
      <c r="O389" s="200"/>
      <c r="Q389" s="32"/>
      <c r="R389" s="32"/>
      <c r="S389" s="32"/>
      <c r="T389" s="32"/>
      <c r="U389" s="226" t="s">
        <v>46</v>
      </c>
      <c r="V389" s="226" t="s">
        <v>120</v>
      </c>
      <c r="W389" s="226" t="s">
        <v>121</v>
      </c>
      <c r="X389" s="226" t="s">
        <v>122</v>
      </c>
      <c r="Y389" s="226"/>
      <c r="Z389" s="226" t="s">
        <v>111</v>
      </c>
      <c r="AA389" s="226" t="s">
        <v>123</v>
      </c>
    </row>
    <row r="390" spans="1:29">
      <c r="A390" s="516"/>
      <c r="B390" s="415" t="s">
        <v>66</v>
      </c>
      <c r="C390" s="517" t="s">
        <v>3</v>
      </c>
      <c r="D390" s="326">
        <f>1*1.3</f>
        <v>1.3</v>
      </c>
      <c r="E390" s="319"/>
      <c r="F390" s="320"/>
      <c r="G390" s="138"/>
      <c r="O390" s="230"/>
      <c r="Q390" s="32"/>
      <c r="R390" s="32"/>
      <c r="S390" s="32"/>
      <c r="T390" s="32"/>
      <c r="U390" s="69" t="s">
        <v>124</v>
      </c>
      <c r="V390" s="88">
        <v>1.32</v>
      </c>
      <c r="W390" s="88">
        <v>0.12</v>
      </c>
      <c r="X390" s="88">
        <v>1</v>
      </c>
      <c r="Y390" s="88"/>
      <c r="Z390" s="88">
        <v>1</v>
      </c>
      <c r="AA390" s="88">
        <f>+Z390*X390*W390*V390</f>
        <v>0.15840000000000001</v>
      </c>
    </row>
    <row r="391" spans="1:29">
      <c r="A391" s="518"/>
      <c r="B391" s="415" t="s">
        <v>75</v>
      </c>
      <c r="C391" s="517" t="s">
        <v>3</v>
      </c>
      <c r="D391" s="326">
        <f>1*1*2</f>
        <v>2</v>
      </c>
      <c r="E391" s="319"/>
      <c r="F391" s="320"/>
      <c r="G391" s="138"/>
      <c r="O391" s="230"/>
      <c r="Q391" s="32"/>
      <c r="R391" s="32"/>
      <c r="S391" s="32"/>
      <c r="T391" s="32"/>
      <c r="U391" s="69" t="s">
        <v>124</v>
      </c>
      <c r="V391" s="88">
        <v>1.32</v>
      </c>
      <c r="W391" s="88">
        <v>0.17</v>
      </c>
      <c r="X391" s="88">
        <v>1</v>
      </c>
      <c r="Y391" s="88"/>
      <c r="Z391" s="88">
        <v>1</v>
      </c>
      <c r="AA391" s="88">
        <f t="shared" ref="AA391:AA393" si="8">+Z391*X391*W391*V391</f>
        <v>0.22440000000000002</v>
      </c>
    </row>
    <row r="392" spans="1:29">
      <c r="A392" s="315"/>
      <c r="B392" s="316" t="s">
        <v>62</v>
      </c>
      <c r="C392" s="325" t="s">
        <v>4</v>
      </c>
      <c r="D392" s="326">
        <f>(1.3*1*1.5)-(0.7*0.7*1)</f>
        <v>1.4600000000000002</v>
      </c>
      <c r="E392" s="319"/>
      <c r="F392" s="320"/>
      <c r="G392" s="138"/>
      <c r="O392" s="230"/>
      <c r="Q392" s="32"/>
      <c r="R392" s="32"/>
      <c r="S392" s="32"/>
      <c r="T392" s="32"/>
      <c r="U392" s="61" t="s">
        <v>125</v>
      </c>
      <c r="V392" s="25">
        <v>0.15</v>
      </c>
      <c r="W392" s="43">
        <f>1+0.12+0.17</f>
        <v>1.29</v>
      </c>
      <c r="X392" s="88">
        <v>1</v>
      </c>
      <c r="Y392" s="88"/>
      <c r="Z392" s="88">
        <v>1</v>
      </c>
      <c r="AA392" s="88">
        <f t="shared" si="8"/>
        <v>0.19350000000000001</v>
      </c>
    </row>
    <row r="393" spans="1:29">
      <c r="A393" s="516"/>
      <c r="B393" s="316" t="s">
        <v>56</v>
      </c>
      <c r="C393" s="325" t="s">
        <v>4</v>
      </c>
      <c r="D393" s="326">
        <f>+(D390*0.12+D391*0.15+D392)*1.3</f>
        <v>2.4908000000000001</v>
      </c>
      <c r="E393" s="319"/>
      <c r="F393" s="320"/>
      <c r="G393" s="138"/>
      <c r="I393" s="32"/>
      <c r="J393" s="25"/>
      <c r="K393" s="25"/>
      <c r="L393" s="25"/>
      <c r="M393" s="25"/>
      <c r="N393" s="25"/>
      <c r="O393" s="137"/>
      <c r="Q393" s="32"/>
      <c r="R393" s="32"/>
      <c r="S393" s="32"/>
      <c r="T393" s="32"/>
      <c r="U393" s="61" t="s">
        <v>138</v>
      </c>
      <c r="V393" s="43">
        <v>0.12</v>
      </c>
      <c r="W393" s="43">
        <f>1+0.12+0.17</f>
        <v>1.29</v>
      </c>
      <c r="X393" s="88">
        <v>1</v>
      </c>
      <c r="Y393" s="88"/>
      <c r="Z393" s="88">
        <v>1</v>
      </c>
      <c r="AA393" s="88">
        <f t="shared" si="8"/>
        <v>0.15479999999999999</v>
      </c>
    </row>
    <row r="394" spans="1:29" ht="15.75">
      <c r="A394" s="518"/>
      <c r="B394" s="316" t="s">
        <v>35</v>
      </c>
      <c r="C394" s="325" t="s">
        <v>4</v>
      </c>
      <c r="D394" s="326">
        <f>+D393</f>
        <v>2.4908000000000001</v>
      </c>
      <c r="E394" s="319"/>
      <c r="F394" s="320"/>
      <c r="G394" s="138"/>
      <c r="Q394" s="32"/>
      <c r="R394" s="32"/>
      <c r="S394" s="32"/>
      <c r="T394" s="32"/>
      <c r="U394" s="286" t="s">
        <v>113</v>
      </c>
      <c r="V394" s="220"/>
      <c r="W394" s="220"/>
      <c r="X394" s="220"/>
      <c r="Y394" s="220"/>
      <c r="Z394" s="221"/>
      <c r="AA394" s="287">
        <f>SUM(AA390:AA393)</f>
        <v>0.73110000000000008</v>
      </c>
    </row>
    <row r="395" spans="1:29" ht="35.25" customHeight="1">
      <c r="A395" s="315"/>
      <c r="B395" s="316" t="s">
        <v>77</v>
      </c>
      <c r="C395" s="325" t="s">
        <v>4</v>
      </c>
      <c r="D395" s="326">
        <f>1.3*0.15</f>
        <v>0.19500000000000001</v>
      </c>
      <c r="E395" s="319"/>
      <c r="F395" s="320"/>
      <c r="G395" s="138"/>
      <c r="Q395" s="32"/>
      <c r="R395" s="32"/>
      <c r="S395" s="32"/>
      <c r="T395" s="32"/>
      <c r="U395" s="32"/>
      <c r="V395" s="32"/>
      <c r="W395" s="32"/>
    </row>
    <row r="396" spans="1:29" ht="30">
      <c r="A396" s="516"/>
      <c r="B396" s="316" t="s">
        <v>68</v>
      </c>
      <c r="C396" s="517" t="s">
        <v>3</v>
      </c>
      <c r="D396" s="326">
        <f>(1.2+1.15)</f>
        <v>2.3499999999999996</v>
      </c>
      <c r="E396" s="319"/>
      <c r="F396" s="320"/>
      <c r="G396" s="138"/>
      <c r="P396" s="230"/>
      <c r="Q396" s="176"/>
      <c r="R396" s="176"/>
      <c r="S396" s="176"/>
      <c r="T396" s="176"/>
      <c r="U396" s="32"/>
      <c r="V396" s="32"/>
      <c r="W396" s="32"/>
    </row>
    <row r="397" spans="1:29" ht="19.5" customHeight="1">
      <c r="A397" s="315"/>
      <c r="B397" s="316" t="s">
        <v>136</v>
      </c>
      <c r="C397" s="325" t="s">
        <v>28</v>
      </c>
      <c r="D397" s="326">
        <f>+AB385</f>
        <v>42.727159999999998</v>
      </c>
      <c r="E397" s="319"/>
      <c r="F397" s="320"/>
      <c r="G397" s="138"/>
      <c r="P397" s="230"/>
      <c r="Q397" s="176"/>
      <c r="R397" s="176"/>
      <c r="S397" s="176"/>
      <c r="T397" s="176"/>
      <c r="U397" s="32"/>
      <c r="V397" s="32"/>
      <c r="W397" s="32"/>
    </row>
    <row r="398" spans="1:29" ht="22.5" customHeight="1">
      <c r="A398" s="516"/>
      <c r="B398" s="316" t="s">
        <v>36</v>
      </c>
      <c r="C398" s="517" t="s">
        <v>3</v>
      </c>
      <c r="D398" s="326">
        <f>(1.2*2)+1</f>
        <v>3.4</v>
      </c>
      <c r="E398" s="319"/>
      <c r="F398" s="320"/>
      <c r="G398" s="138"/>
      <c r="P398" s="230"/>
      <c r="Q398" s="176"/>
      <c r="R398" s="176"/>
      <c r="S398" s="176"/>
      <c r="T398" s="176"/>
      <c r="U398" s="32"/>
      <c r="V398" s="32"/>
      <c r="W398" s="32"/>
    </row>
    <row r="399" spans="1:29" ht="15.75" thickBot="1">
      <c r="A399" s="518"/>
      <c r="B399" s="519" t="s">
        <v>58</v>
      </c>
      <c r="C399" s="520" t="s">
        <v>4</v>
      </c>
      <c r="D399" s="521">
        <f>+AA394</f>
        <v>0.73110000000000008</v>
      </c>
      <c r="E399" s="337"/>
      <c r="F399" s="320"/>
      <c r="G399" s="138"/>
      <c r="H399" s="32"/>
      <c r="P399" s="230"/>
      <c r="Q399" s="176"/>
      <c r="R399" s="176"/>
      <c r="S399" s="176"/>
      <c r="T399" s="176"/>
      <c r="U399" s="32"/>
      <c r="V399" s="32"/>
      <c r="W399" s="32"/>
    </row>
    <row r="400" spans="1:29" ht="15.75" thickBot="1">
      <c r="A400" s="522"/>
      <c r="B400" s="232"/>
      <c r="C400" s="244"/>
      <c r="D400" s="244"/>
      <c r="E400" s="71"/>
      <c r="F400" s="511"/>
      <c r="G400" s="138"/>
      <c r="H400" s="32"/>
      <c r="P400" s="230"/>
      <c r="Q400" s="176"/>
      <c r="R400" s="176"/>
      <c r="S400" s="176"/>
      <c r="T400" s="176"/>
      <c r="U400" s="32"/>
      <c r="V400" s="32"/>
      <c r="W400" s="32"/>
    </row>
    <row r="401" spans="1:23" ht="16.5" thickBot="1">
      <c r="A401" s="734" t="s">
        <v>5</v>
      </c>
      <c r="B401" s="735"/>
      <c r="C401" s="735"/>
      <c r="D401" s="735"/>
      <c r="E401" s="736"/>
      <c r="F401" s="324">
        <f>ROUND(SUM(F386:F399),0)</f>
        <v>0</v>
      </c>
      <c r="G401" s="138"/>
      <c r="H401" s="32"/>
      <c r="I401" s="32"/>
      <c r="J401" s="32"/>
      <c r="K401" s="25"/>
      <c r="P401" s="176"/>
      <c r="Q401" s="207"/>
      <c r="R401" s="207"/>
      <c r="S401" s="176"/>
      <c r="T401" s="176"/>
      <c r="U401" s="32"/>
      <c r="V401" s="32"/>
      <c r="W401" s="32"/>
    </row>
    <row r="402" spans="1:23" ht="15.75" thickBot="1">
      <c r="G402" s="138"/>
      <c r="H402" s="32"/>
      <c r="I402" s="32"/>
      <c r="J402" s="32"/>
      <c r="K402" s="25"/>
      <c r="P402" s="176"/>
      <c r="Q402" s="230"/>
      <c r="R402" s="230"/>
      <c r="S402" s="230"/>
      <c r="T402" s="230"/>
      <c r="V402" s="32"/>
      <c r="W402" s="32"/>
    </row>
    <row r="403" spans="1:23" ht="16.5" thickBot="1">
      <c r="A403" s="770" t="s">
        <v>229</v>
      </c>
      <c r="B403" s="771"/>
      <c r="C403" s="771"/>
      <c r="D403" s="771"/>
      <c r="E403" s="771"/>
      <c r="F403" s="772"/>
      <c r="G403" s="138"/>
      <c r="H403" s="32"/>
      <c r="I403" s="32"/>
      <c r="J403" s="32"/>
      <c r="K403" s="25"/>
      <c r="P403" s="176"/>
      <c r="Q403" s="230"/>
      <c r="R403" s="230"/>
      <c r="S403" s="230"/>
      <c r="T403" s="230"/>
      <c r="V403" s="32"/>
      <c r="W403" s="32"/>
    </row>
    <row r="404" spans="1:23" ht="15.75">
      <c r="A404" s="311" t="s">
        <v>275</v>
      </c>
      <c r="B404" s="312" t="s">
        <v>7</v>
      </c>
      <c r="C404" s="313" t="s">
        <v>0</v>
      </c>
      <c r="D404" s="313" t="s">
        <v>8</v>
      </c>
      <c r="E404" s="313" t="s">
        <v>2</v>
      </c>
      <c r="F404" s="53" t="s">
        <v>9</v>
      </c>
      <c r="G404" s="138"/>
      <c r="H404" s="32"/>
      <c r="I404" s="32"/>
      <c r="J404" s="32"/>
      <c r="K404" s="25"/>
      <c r="P404" s="176"/>
      <c r="Q404" s="230"/>
      <c r="R404" s="230"/>
      <c r="S404" s="230"/>
      <c r="T404" s="230"/>
      <c r="V404" s="32"/>
      <c r="W404" s="32"/>
    </row>
    <row r="405" spans="1:23" ht="16.5" customHeight="1">
      <c r="A405" s="374"/>
      <c r="B405" s="330" t="s">
        <v>31</v>
      </c>
      <c r="C405" s="325" t="s">
        <v>32</v>
      </c>
      <c r="D405" s="326">
        <v>2</v>
      </c>
      <c r="E405" s="319"/>
      <c r="F405" s="403"/>
      <c r="G405" s="138"/>
      <c r="H405" s="32"/>
      <c r="I405" s="32"/>
      <c r="J405" s="32"/>
      <c r="K405" s="25"/>
      <c r="P405" s="176"/>
      <c r="Q405" s="230"/>
      <c r="R405" s="230"/>
      <c r="S405" s="230"/>
      <c r="T405" s="230"/>
      <c r="V405" s="32"/>
      <c r="W405" s="32"/>
    </row>
    <row r="406" spans="1:23" ht="33" customHeight="1">
      <c r="A406" s="374"/>
      <c r="B406" s="330" t="s">
        <v>53</v>
      </c>
      <c r="C406" s="325" t="s">
        <v>32</v>
      </c>
      <c r="D406" s="326">
        <v>2</v>
      </c>
      <c r="E406" s="319"/>
      <c r="F406" s="403"/>
      <c r="G406" s="138"/>
      <c r="H406" s="32"/>
      <c r="I406" s="32"/>
      <c r="J406" s="32"/>
      <c r="K406" s="25"/>
      <c r="P406" s="176"/>
      <c r="Q406" s="230"/>
      <c r="R406" s="230"/>
      <c r="S406" s="230"/>
      <c r="T406" s="230"/>
      <c r="V406" s="32"/>
      <c r="W406" s="32"/>
    </row>
    <row r="407" spans="1:23" ht="28.5" customHeight="1">
      <c r="A407" s="374"/>
      <c r="B407" s="330" t="s">
        <v>33</v>
      </c>
      <c r="C407" s="325" t="s">
        <v>37</v>
      </c>
      <c r="D407" s="328">
        <v>0.2</v>
      </c>
      <c r="E407" s="319"/>
      <c r="F407" s="403"/>
      <c r="G407" s="138"/>
      <c r="H407" s="32"/>
      <c r="I407" s="32"/>
      <c r="J407" s="32"/>
      <c r="K407" s="25"/>
      <c r="P407" s="176"/>
      <c r="Q407" s="230"/>
      <c r="R407" s="230"/>
      <c r="S407" s="230"/>
      <c r="T407" s="230"/>
      <c r="V407" s="32"/>
      <c r="W407" s="32"/>
    </row>
    <row r="408" spans="1:23" ht="30" customHeight="1">
      <c r="A408" s="374"/>
      <c r="B408" s="357" t="s">
        <v>65</v>
      </c>
      <c r="C408" s="325" t="s">
        <v>32</v>
      </c>
      <c r="D408" s="326">
        <v>2</v>
      </c>
      <c r="E408" s="319"/>
      <c r="F408" s="403"/>
      <c r="G408" s="138"/>
      <c r="H408" s="32"/>
      <c r="I408" s="32"/>
      <c r="J408" s="32"/>
      <c r="K408" s="25"/>
      <c r="P408" s="176"/>
      <c r="Q408" s="230"/>
      <c r="R408" s="230"/>
      <c r="S408" s="230"/>
      <c r="T408" s="230"/>
      <c r="V408" s="32"/>
      <c r="W408" s="32"/>
    </row>
    <row r="409" spans="1:23">
      <c r="A409" s="374"/>
      <c r="B409" s="415" t="s">
        <v>66</v>
      </c>
      <c r="C409" s="517" t="s">
        <v>3</v>
      </c>
      <c r="D409" s="326">
        <f>0.7*1</f>
        <v>0.7</v>
      </c>
      <c r="E409" s="319"/>
      <c r="F409" s="403"/>
      <c r="G409" s="138"/>
      <c r="H409" s="32"/>
      <c r="I409" s="32"/>
      <c r="J409" s="32"/>
      <c r="K409" s="25"/>
      <c r="P409" s="176"/>
      <c r="Q409" s="230"/>
      <c r="R409" s="230"/>
      <c r="S409" s="230"/>
      <c r="T409" s="230"/>
      <c r="V409" s="32"/>
      <c r="W409" s="32"/>
    </row>
    <row r="410" spans="1:23">
      <c r="A410" s="374"/>
      <c r="B410" s="330" t="s">
        <v>62</v>
      </c>
      <c r="C410" s="325" t="s">
        <v>4</v>
      </c>
      <c r="D410" s="328">
        <f>1*0.65*0.7</f>
        <v>0.45499999999999996</v>
      </c>
      <c r="E410" s="319"/>
      <c r="F410" s="403"/>
      <c r="G410" s="138"/>
      <c r="H410" s="32"/>
      <c r="I410" s="32"/>
      <c r="J410" s="32"/>
      <c r="K410" s="25"/>
      <c r="P410" s="176"/>
      <c r="Q410" s="230"/>
      <c r="R410" s="230"/>
      <c r="S410" s="230"/>
      <c r="T410" s="230"/>
      <c r="V410" s="32"/>
      <c r="W410" s="32"/>
    </row>
    <row r="411" spans="1:23" ht="15.75">
      <c r="A411" s="374"/>
      <c r="B411" s="330" t="s">
        <v>56</v>
      </c>
      <c r="C411" s="325" t="s">
        <v>4</v>
      </c>
      <c r="D411" s="328">
        <f>0.7*1*0.15</f>
        <v>0.105</v>
      </c>
      <c r="E411" s="319"/>
      <c r="F411" s="403"/>
      <c r="G411" s="138"/>
      <c r="H411" s="32"/>
      <c r="I411" s="32"/>
      <c r="J411" s="32"/>
      <c r="K411" s="25"/>
      <c r="P411" s="207"/>
      <c r="Q411" s="230"/>
      <c r="R411" s="230"/>
      <c r="S411" s="230"/>
      <c r="T411" s="230"/>
      <c r="V411" s="32"/>
      <c r="W411" s="32"/>
    </row>
    <row r="412" spans="1:23">
      <c r="A412" s="374"/>
      <c r="B412" s="330" t="s">
        <v>35</v>
      </c>
      <c r="C412" s="325" t="s">
        <v>4</v>
      </c>
      <c r="D412" s="328">
        <f>0.7*1*0.15</f>
        <v>0.105</v>
      </c>
      <c r="E412" s="319"/>
      <c r="F412" s="403"/>
      <c r="G412" s="138"/>
      <c r="I412" s="32"/>
      <c r="J412" s="32"/>
      <c r="K412" s="25"/>
      <c r="V412" s="32"/>
      <c r="W412" s="32"/>
    </row>
    <row r="413" spans="1:23">
      <c r="A413" s="374"/>
      <c r="B413" s="330" t="s">
        <v>79</v>
      </c>
      <c r="C413" s="517" t="s">
        <v>4</v>
      </c>
      <c r="D413" s="328">
        <f>1*0.65*0.15</f>
        <v>9.7500000000000003E-2</v>
      </c>
      <c r="E413" s="319"/>
      <c r="F413" s="403"/>
      <c r="G413" s="138"/>
      <c r="I413" s="32"/>
      <c r="J413" s="32"/>
      <c r="K413" s="25"/>
      <c r="V413" s="32"/>
      <c r="W413" s="32"/>
    </row>
    <row r="414" spans="1:23">
      <c r="A414" s="374"/>
      <c r="B414" s="330" t="s">
        <v>34</v>
      </c>
      <c r="C414" s="325" t="s">
        <v>32</v>
      </c>
      <c r="D414" s="328">
        <v>4</v>
      </c>
      <c r="E414" s="319"/>
      <c r="F414" s="403"/>
      <c r="G414" s="138"/>
      <c r="I414" s="32"/>
      <c r="J414" s="32"/>
      <c r="K414" s="25"/>
      <c r="V414" s="32"/>
      <c r="W414" s="32"/>
    </row>
    <row r="415" spans="1:23">
      <c r="A415" s="374"/>
      <c r="B415" s="330" t="s">
        <v>80</v>
      </c>
      <c r="C415" s="325" t="s">
        <v>4</v>
      </c>
      <c r="D415" s="328">
        <f>0.3*0.65*1</f>
        <v>0.19500000000000001</v>
      </c>
      <c r="E415" s="319"/>
      <c r="F415" s="403"/>
      <c r="G415" s="138"/>
      <c r="I415" s="32"/>
      <c r="J415" s="32"/>
      <c r="K415" s="25"/>
      <c r="V415" s="32"/>
      <c r="W415" s="32"/>
    </row>
    <row r="416" spans="1:23">
      <c r="A416" s="374"/>
      <c r="B416" s="330" t="s">
        <v>230</v>
      </c>
      <c r="C416" s="325" t="s">
        <v>4</v>
      </c>
      <c r="D416" s="328">
        <f>1*0.65*0.15</f>
        <v>9.7500000000000003E-2</v>
      </c>
      <c r="E416" s="319"/>
      <c r="F416" s="403"/>
      <c r="G416" s="138"/>
      <c r="I416" s="32"/>
      <c r="J416" s="32"/>
      <c r="K416" s="25"/>
      <c r="V416" s="32"/>
      <c r="W416" s="32"/>
    </row>
    <row r="417" spans="1:23" ht="30">
      <c r="A417" s="374"/>
      <c r="B417" s="316" t="s">
        <v>231</v>
      </c>
      <c r="C417" s="325" t="s">
        <v>3</v>
      </c>
      <c r="D417" s="328">
        <f>0.7*1</f>
        <v>0.7</v>
      </c>
      <c r="E417" s="319"/>
      <c r="F417" s="403"/>
      <c r="G417" s="138"/>
      <c r="I417" s="32"/>
      <c r="J417" s="32"/>
      <c r="K417" s="25"/>
      <c r="V417" s="32"/>
      <c r="W417" s="32"/>
    </row>
    <row r="418" spans="1:23" ht="15.75" thickBot="1">
      <c r="A418" s="138"/>
      <c r="B418" s="138"/>
      <c r="C418" s="138"/>
      <c r="D418" s="138"/>
      <c r="E418" s="138"/>
      <c r="F418" s="138"/>
      <c r="G418" s="138"/>
      <c r="I418" s="32"/>
      <c r="J418" s="32"/>
      <c r="K418" s="25"/>
      <c r="V418" s="32"/>
      <c r="W418" s="32"/>
    </row>
    <row r="419" spans="1:23" ht="16.5" thickBot="1">
      <c r="A419" s="734" t="s">
        <v>5</v>
      </c>
      <c r="B419" s="735"/>
      <c r="C419" s="735"/>
      <c r="D419" s="735"/>
      <c r="E419" s="736"/>
      <c r="F419" s="324">
        <f>ROUND(SUM(F405:F417),0)</f>
        <v>0</v>
      </c>
      <c r="G419" s="138"/>
      <c r="I419" s="32"/>
      <c r="J419" s="32"/>
      <c r="K419" s="25"/>
      <c r="V419" s="32"/>
      <c r="W419" s="32"/>
    </row>
    <row r="420" spans="1:23">
      <c r="A420" s="32"/>
      <c r="B420" s="104"/>
      <c r="C420" s="32"/>
      <c r="D420" s="32"/>
      <c r="E420" s="99"/>
      <c r="F420" s="33"/>
      <c r="G420" s="138"/>
      <c r="I420" s="32"/>
      <c r="J420" s="32"/>
      <c r="K420" s="25"/>
      <c r="V420" s="32"/>
      <c r="W420" s="32"/>
    </row>
    <row r="421" spans="1:23" ht="15.75" thickBot="1">
      <c r="A421" s="25"/>
      <c r="B421" s="24"/>
      <c r="C421" s="25"/>
      <c r="D421" s="70"/>
      <c r="E421" s="105"/>
      <c r="F421" s="58"/>
      <c r="G421" s="138"/>
      <c r="I421" s="32"/>
      <c r="J421" s="32"/>
      <c r="K421" s="25"/>
      <c r="V421" s="32"/>
      <c r="W421" s="32"/>
    </row>
    <row r="422" spans="1:23" ht="15.75">
      <c r="A422" s="528" t="s">
        <v>276</v>
      </c>
      <c r="B422" s="529" t="s">
        <v>7</v>
      </c>
      <c r="C422" s="313" t="s">
        <v>0</v>
      </c>
      <c r="D422" s="313" t="s">
        <v>8</v>
      </c>
      <c r="E422" s="529" t="s">
        <v>2</v>
      </c>
      <c r="F422" s="530" t="s">
        <v>201</v>
      </c>
      <c r="G422" s="314" t="s">
        <v>9</v>
      </c>
      <c r="I422" s="32"/>
      <c r="J422" s="32"/>
      <c r="K422" s="25"/>
      <c r="V422" s="32"/>
      <c r="W422" s="32"/>
    </row>
    <row r="423" spans="1:23" ht="13.5" customHeight="1">
      <c r="A423" s="327"/>
      <c r="B423" s="531" t="s">
        <v>272</v>
      </c>
      <c r="C423" s="532" t="s">
        <v>23</v>
      </c>
      <c r="D423" s="524"/>
      <c r="E423" s="428"/>
      <c r="F423" s="533"/>
      <c r="G423" s="525">
        <f>+SUM(G424:G427)</f>
        <v>0</v>
      </c>
      <c r="I423" s="32"/>
      <c r="J423" s="32"/>
      <c r="K423" s="25"/>
      <c r="V423" s="32"/>
      <c r="W423" s="32"/>
    </row>
    <row r="424" spans="1:23" ht="27" customHeight="1">
      <c r="A424" s="327"/>
      <c r="B424" s="330" t="s">
        <v>56</v>
      </c>
      <c r="C424" s="534"/>
      <c r="D424" s="526">
        <v>1</v>
      </c>
      <c r="E424" s="428"/>
      <c r="F424" s="534"/>
      <c r="G424" s="319"/>
      <c r="I424" s="32"/>
      <c r="J424" s="32"/>
      <c r="K424" s="25"/>
      <c r="V424" s="32"/>
      <c r="W424" s="32"/>
    </row>
    <row r="425" spans="1:23">
      <c r="A425" s="327"/>
      <c r="B425" s="330" t="s">
        <v>35</v>
      </c>
      <c r="C425" s="534" t="s">
        <v>271</v>
      </c>
      <c r="D425" s="526">
        <v>1</v>
      </c>
      <c r="E425" s="428"/>
      <c r="F425" s="534"/>
      <c r="G425" s="319"/>
      <c r="I425" s="32"/>
      <c r="J425" s="32"/>
      <c r="K425" s="25"/>
      <c r="V425" s="32"/>
      <c r="W425" s="32"/>
    </row>
    <row r="426" spans="1:23">
      <c r="A426" s="327"/>
      <c r="B426" s="474" t="s">
        <v>270</v>
      </c>
      <c r="C426" s="376" t="s">
        <v>11</v>
      </c>
      <c r="D426" s="527">
        <v>1</v>
      </c>
      <c r="E426" s="428"/>
      <c r="F426" s="535"/>
      <c r="G426" s="319"/>
      <c r="I426" s="32"/>
      <c r="J426" s="32"/>
      <c r="K426" s="25"/>
      <c r="V426" s="32"/>
      <c r="W426" s="32"/>
    </row>
    <row r="427" spans="1:23">
      <c r="A427" s="327"/>
      <c r="B427" s="474" t="s">
        <v>19</v>
      </c>
      <c r="C427" s="534" t="s">
        <v>12</v>
      </c>
      <c r="D427" s="526">
        <v>0.1</v>
      </c>
      <c r="E427" s="428"/>
      <c r="F427" s="534"/>
      <c r="G427" s="319"/>
      <c r="I427" s="32"/>
      <c r="J427" s="32"/>
      <c r="K427" s="25"/>
      <c r="V427" s="32"/>
      <c r="W427" s="32"/>
    </row>
    <row r="428" spans="1:23" ht="16.5" thickBot="1">
      <c r="A428" s="477" t="s">
        <v>5</v>
      </c>
      <c r="B428" s="478"/>
      <c r="C428" s="536"/>
      <c r="D428" s="536"/>
      <c r="E428" s="478"/>
      <c r="F428" s="537"/>
      <c r="G428" s="538">
        <f>+G423</f>
        <v>0</v>
      </c>
      <c r="H428" s="109"/>
      <c r="I428" s="32"/>
      <c r="J428" s="32"/>
      <c r="K428" s="25"/>
      <c r="V428" s="32"/>
      <c r="W428" s="32"/>
    </row>
    <row r="429" spans="1:23">
      <c r="G429" s="138"/>
      <c r="I429" s="32"/>
      <c r="J429" s="32"/>
      <c r="K429" s="25"/>
      <c r="V429" s="32"/>
      <c r="W429" s="32"/>
    </row>
    <row r="430" spans="1:23">
      <c r="G430" s="138"/>
      <c r="I430" s="32"/>
      <c r="J430" s="32"/>
      <c r="K430" s="25"/>
      <c r="V430" s="32"/>
      <c r="W430" s="32"/>
    </row>
    <row r="431" spans="1:23">
      <c r="G431" s="138"/>
      <c r="I431" s="32"/>
      <c r="J431" s="32"/>
      <c r="K431" s="25"/>
      <c r="V431" s="32"/>
      <c r="W431" s="32"/>
    </row>
    <row r="432" spans="1:23">
      <c r="G432" s="138"/>
      <c r="I432" s="32"/>
      <c r="J432" s="32"/>
      <c r="K432" s="25"/>
      <c r="L432" s="25"/>
      <c r="M432" s="32"/>
      <c r="N432" s="25"/>
      <c r="O432" s="32"/>
      <c r="V432" s="32"/>
      <c r="W432" s="32"/>
    </row>
    <row r="433" spans="1:23">
      <c r="G433" s="138"/>
      <c r="I433" s="32"/>
      <c r="J433" s="25"/>
      <c r="K433" s="25"/>
      <c r="L433" s="25"/>
      <c r="M433" s="25"/>
      <c r="N433" s="25"/>
      <c r="O433" s="25"/>
      <c r="V433" s="32"/>
      <c r="W433" s="32"/>
    </row>
    <row r="434" spans="1:23" ht="23.25" customHeight="1">
      <c r="G434" s="138"/>
      <c r="I434" s="32"/>
      <c r="J434" s="25"/>
      <c r="K434" s="25"/>
      <c r="L434" s="25"/>
      <c r="M434" s="25"/>
      <c r="N434" s="25"/>
      <c r="O434" s="25"/>
      <c r="V434" s="32"/>
      <c r="W434" s="32"/>
    </row>
    <row r="435" spans="1:23" ht="36" customHeight="1">
      <c r="G435" s="138"/>
      <c r="I435" s="32"/>
      <c r="J435" s="25"/>
      <c r="K435" s="25"/>
      <c r="L435" s="25"/>
      <c r="M435" s="25"/>
      <c r="N435" s="25"/>
      <c r="O435" s="25"/>
      <c r="V435" s="32"/>
    </row>
    <row r="436" spans="1:23">
      <c r="G436" s="138"/>
      <c r="I436" s="32"/>
      <c r="J436" s="25"/>
      <c r="K436" s="25"/>
      <c r="L436" s="25"/>
      <c r="M436" s="25"/>
      <c r="N436" s="25"/>
      <c r="O436" s="25"/>
    </row>
    <row r="437" spans="1:23">
      <c r="G437" s="138"/>
      <c r="I437" s="32"/>
      <c r="J437" s="25"/>
      <c r="K437" s="25"/>
      <c r="L437" s="25"/>
      <c r="M437" s="25"/>
      <c r="N437" s="25"/>
      <c r="O437" s="25"/>
    </row>
    <row r="438" spans="1:23" ht="15.75">
      <c r="G438" s="138"/>
      <c r="I438" s="32"/>
      <c r="J438" s="137"/>
      <c r="K438" s="137"/>
      <c r="L438" s="201"/>
      <c r="M438" s="201"/>
      <c r="N438" s="201"/>
      <c r="O438" s="201"/>
    </row>
    <row r="439" spans="1:23" ht="15.75">
      <c r="G439" s="138"/>
      <c r="I439" s="32"/>
      <c r="J439" s="137"/>
      <c r="K439" s="137"/>
      <c r="L439" s="291"/>
      <c r="M439" s="202"/>
      <c r="N439" s="201"/>
      <c r="O439" s="201"/>
    </row>
    <row r="440" spans="1:23">
      <c r="G440" s="138"/>
      <c r="I440" s="32"/>
      <c r="J440" s="137"/>
      <c r="K440" s="137"/>
      <c r="L440" s="112"/>
      <c r="M440" s="203"/>
      <c r="N440" s="112"/>
      <c r="O440" s="204"/>
    </row>
    <row r="441" spans="1:23">
      <c r="G441" s="138"/>
      <c r="I441" s="32"/>
      <c r="J441" s="176"/>
      <c r="K441" s="137"/>
      <c r="L441" s="112"/>
      <c r="M441" s="203"/>
      <c r="N441" s="112"/>
      <c r="O441" s="204"/>
    </row>
    <row r="442" spans="1:23">
      <c r="G442" s="138"/>
      <c r="I442" s="32"/>
      <c r="J442" s="176"/>
      <c r="K442" s="137"/>
      <c r="L442" s="112"/>
      <c r="M442" s="203"/>
      <c r="N442" s="112"/>
      <c r="O442" s="204"/>
    </row>
    <row r="443" spans="1:23">
      <c r="G443" s="138"/>
      <c r="I443" s="32"/>
      <c r="J443" s="176"/>
      <c r="K443" s="137"/>
      <c r="L443" s="112"/>
      <c r="M443" s="203"/>
      <c r="N443" s="112"/>
      <c r="O443" s="205"/>
      <c r="Q443" s="32"/>
      <c r="R443" s="32"/>
      <c r="S443" s="32"/>
      <c r="T443" s="32"/>
      <c r="U443" s="32"/>
    </row>
    <row r="444" spans="1:23">
      <c r="G444" s="138"/>
      <c r="I444" s="32"/>
      <c r="J444" s="176"/>
      <c r="K444" s="137"/>
      <c r="L444" s="112"/>
      <c r="M444" s="203"/>
      <c r="N444" s="112"/>
      <c r="O444" s="205"/>
      <c r="Q444" s="25"/>
      <c r="R444" s="32"/>
      <c r="S444" s="32"/>
      <c r="T444" s="32"/>
      <c r="U444" s="32"/>
    </row>
    <row r="445" spans="1:23">
      <c r="A445" s="236"/>
      <c r="B445" s="237"/>
      <c r="C445" s="190"/>
      <c r="D445" s="246"/>
      <c r="E445" s="248"/>
      <c r="F445" s="111"/>
      <c r="G445" s="138"/>
      <c r="I445" s="32"/>
      <c r="J445" s="176"/>
      <c r="K445" s="137"/>
      <c r="L445" s="112"/>
      <c r="M445" s="203"/>
      <c r="N445" s="112"/>
      <c r="O445" s="112"/>
      <c r="Q445" s="25"/>
      <c r="R445" s="32"/>
      <c r="S445" s="32"/>
      <c r="T445" s="32"/>
      <c r="U445" s="32"/>
    </row>
    <row r="446" spans="1:23" ht="15.75">
      <c r="A446" s="729"/>
      <c r="B446" s="729"/>
      <c r="C446" s="729"/>
      <c r="D446" s="729"/>
      <c r="E446" s="729"/>
      <c r="F446" s="90"/>
      <c r="I446" s="32"/>
      <c r="J446" s="176"/>
      <c r="K446" s="137"/>
      <c r="L446" s="112"/>
      <c r="M446" s="203"/>
      <c r="N446" s="112"/>
      <c r="O446" s="112"/>
      <c r="Q446" s="25"/>
      <c r="R446" s="32"/>
      <c r="S446" s="32"/>
      <c r="T446" s="32"/>
      <c r="U446" s="32"/>
    </row>
    <row r="447" spans="1:23">
      <c r="A447" s="236"/>
      <c r="B447" s="232"/>
      <c r="C447" s="190"/>
      <c r="D447" s="246"/>
      <c r="E447" s="71"/>
      <c r="F447" s="111"/>
      <c r="I447" s="32"/>
      <c r="J447" s="176"/>
      <c r="K447" s="137"/>
      <c r="L447" s="112"/>
      <c r="M447" s="203"/>
      <c r="N447" s="112"/>
      <c r="O447" s="112"/>
      <c r="Q447" s="25"/>
      <c r="R447" s="32"/>
      <c r="S447" s="32"/>
      <c r="T447" s="32"/>
      <c r="U447" s="32"/>
    </row>
    <row r="448" spans="1:23">
      <c r="A448" s="190"/>
      <c r="B448" s="232"/>
      <c r="C448" s="190"/>
      <c r="D448" s="246"/>
      <c r="E448" s="71"/>
      <c r="F448" s="111"/>
      <c r="I448" s="32"/>
      <c r="J448" s="176"/>
      <c r="K448" s="137"/>
      <c r="L448" s="112"/>
      <c r="M448" s="203"/>
      <c r="N448" s="112"/>
      <c r="O448" s="112"/>
      <c r="Q448" s="25"/>
      <c r="R448" s="32"/>
      <c r="S448" s="32"/>
      <c r="T448" s="32"/>
      <c r="U448" s="32"/>
    </row>
    <row r="449" spans="1:21" ht="15.75">
      <c r="A449" s="190"/>
      <c r="B449" s="237"/>
      <c r="C449" s="190"/>
      <c r="D449" s="190"/>
      <c r="E449" s="71"/>
      <c r="F449" s="111"/>
      <c r="I449" s="32"/>
      <c r="J449" s="176"/>
      <c r="K449" s="137"/>
      <c r="L449" s="112"/>
      <c r="M449" s="203"/>
      <c r="N449" s="112"/>
      <c r="O449" s="112"/>
      <c r="Q449" s="275"/>
      <c r="R449" s="275"/>
      <c r="S449" s="48"/>
      <c r="T449" s="32"/>
      <c r="U449" s="32"/>
    </row>
    <row r="450" spans="1:21" ht="15.75">
      <c r="A450" s="236"/>
      <c r="B450" s="237"/>
      <c r="C450" s="190"/>
      <c r="D450" s="246"/>
      <c r="E450" s="71"/>
      <c r="F450" s="111"/>
      <c r="I450" s="32"/>
      <c r="J450" s="176"/>
      <c r="K450" s="137"/>
      <c r="L450" s="112"/>
      <c r="M450" s="203"/>
      <c r="N450" s="112"/>
      <c r="O450" s="113"/>
      <c r="Q450" s="275"/>
      <c r="R450" s="275"/>
      <c r="S450" s="276"/>
      <c r="T450" s="242"/>
      <c r="U450" s="32"/>
    </row>
    <row r="451" spans="1:21">
      <c r="A451" s="93"/>
      <c r="B451" s="93"/>
      <c r="C451" s="93"/>
      <c r="D451" s="93"/>
      <c r="E451" s="93"/>
      <c r="F451" s="93"/>
      <c r="I451" s="32"/>
      <c r="J451" s="176"/>
      <c r="K451" s="137"/>
      <c r="L451" s="112"/>
      <c r="M451" s="203"/>
      <c r="N451" s="112"/>
      <c r="O451" s="113"/>
      <c r="Q451" s="277"/>
      <c r="R451" s="277"/>
      <c r="S451" s="242"/>
      <c r="T451" s="242"/>
      <c r="U451" s="32"/>
    </row>
    <row r="452" spans="1:21" ht="15.75">
      <c r="A452" s="249"/>
      <c r="B452" s="754"/>
      <c r="C452" s="754"/>
      <c r="D452" s="754"/>
      <c r="E452" s="754"/>
      <c r="F452" s="250"/>
      <c r="I452" s="32"/>
      <c r="J452" s="176"/>
      <c r="K452" s="137"/>
      <c r="L452" s="112"/>
      <c r="M452" s="203"/>
      <c r="N452" s="112"/>
      <c r="O452" s="206"/>
      <c r="Q452" s="277"/>
      <c r="R452" s="277"/>
      <c r="S452" s="242"/>
      <c r="T452" s="242"/>
      <c r="U452" s="32"/>
    </row>
    <row r="453" spans="1:21" ht="15.75">
      <c r="A453" s="251"/>
      <c r="B453" s="240"/>
      <c r="C453" s="251"/>
      <c r="D453" s="251"/>
      <c r="E453" s="251"/>
      <c r="F453" s="58"/>
      <c r="I453" s="32"/>
      <c r="J453" s="176"/>
      <c r="K453" s="137"/>
      <c r="L453" s="207"/>
      <c r="M453" s="207"/>
      <c r="N453" s="207"/>
      <c r="O453" s="207"/>
      <c r="P453" s="32"/>
      <c r="Q453" s="277"/>
      <c r="R453" s="277"/>
      <c r="S453" s="242"/>
      <c r="T453" s="242"/>
      <c r="U453" s="32"/>
    </row>
    <row r="454" spans="1:21" ht="15.75">
      <c r="A454" s="198"/>
      <c r="B454" s="239"/>
      <c r="C454" s="198"/>
      <c r="D454" s="198"/>
      <c r="E454" s="198"/>
      <c r="F454" s="231"/>
      <c r="I454" s="32"/>
      <c r="J454" s="176"/>
      <c r="K454" s="137"/>
      <c r="L454" s="137"/>
      <c r="M454" s="137"/>
      <c r="N454" s="137"/>
      <c r="O454" s="137"/>
      <c r="P454" s="25"/>
      <c r="Q454" s="277"/>
      <c r="R454" s="277"/>
      <c r="S454" s="242"/>
      <c r="T454" s="242"/>
      <c r="U454" s="32"/>
    </row>
    <row r="455" spans="1:21">
      <c r="A455" s="190"/>
      <c r="B455" s="232"/>
      <c r="C455" s="190"/>
      <c r="D455" s="235"/>
      <c r="E455" s="71"/>
      <c r="F455" s="111"/>
      <c r="I455" s="32"/>
      <c r="J455" s="176"/>
      <c r="K455" s="137"/>
      <c r="L455" s="137"/>
      <c r="M455" s="137"/>
      <c r="N455" s="137"/>
      <c r="O455" s="137"/>
      <c r="P455" s="25"/>
      <c r="Q455" s="277"/>
      <c r="R455" s="277"/>
      <c r="S455" s="242"/>
      <c r="T455" s="242"/>
      <c r="U455" s="32"/>
    </row>
    <row r="456" spans="1:21" ht="15.75">
      <c r="A456" s="236"/>
      <c r="B456" s="232"/>
      <c r="C456" s="190"/>
      <c r="D456" s="235"/>
      <c r="E456" s="71"/>
      <c r="F456" s="111"/>
      <c r="I456" s="32"/>
      <c r="J456" s="202"/>
      <c r="K456" s="291"/>
      <c r="L456" s="291"/>
      <c r="M456" s="202"/>
      <c r="N456" s="291"/>
      <c r="O456" s="202"/>
      <c r="P456" s="25"/>
      <c r="Q456" s="190"/>
      <c r="R456" s="277"/>
      <c r="S456" s="242"/>
      <c r="T456" s="242"/>
      <c r="U456" s="32"/>
    </row>
    <row r="457" spans="1:21" ht="15.75">
      <c r="A457" s="190"/>
      <c r="B457" s="232"/>
      <c r="C457" s="190"/>
      <c r="D457" s="235"/>
      <c r="E457" s="71"/>
      <c r="F457" s="111"/>
      <c r="I457" s="32"/>
      <c r="J457" s="725"/>
      <c r="K457" s="725"/>
      <c r="L457" s="725"/>
      <c r="M457" s="202"/>
      <c r="N457" s="208"/>
      <c r="O457" s="208"/>
      <c r="P457" s="25"/>
      <c r="Q457" s="190"/>
      <c r="R457" s="277"/>
      <c r="S457" s="242"/>
      <c r="T457" s="242"/>
      <c r="U457" s="32"/>
    </row>
    <row r="458" spans="1:21" ht="15.75">
      <c r="A458" s="236"/>
      <c r="B458" s="233"/>
      <c r="C458" s="234"/>
      <c r="D458" s="238"/>
      <c r="E458" s="71"/>
      <c r="F458" s="111"/>
      <c r="I458" s="32"/>
      <c r="J458" s="724"/>
      <c r="K458" s="724"/>
      <c r="L458" s="208"/>
      <c r="M458" s="208"/>
      <c r="N458" s="209"/>
      <c r="O458" s="209"/>
      <c r="P458" s="25"/>
      <c r="Q458" s="190"/>
      <c r="R458" s="277"/>
      <c r="S458" s="242"/>
      <c r="T458" s="242"/>
      <c r="U458" s="32"/>
    </row>
    <row r="459" spans="1:21" ht="15.75">
      <c r="A459" s="190"/>
      <c r="B459" s="252"/>
      <c r="C459" s="234"/>
      <c r="D459" s="253"/>
      <c r="E459" s="71"/>
      <c r="F459" s="111"/>
      <c r="I459" s="32"/>
      <c r="J459" s="724"/>
      <c r="K459" s="724"/>
      <c r="L459" s="208"/>
      <c r="M459" s="208"/>
      <c r="N459" s="209"/>
      <c r="O459" s="209"/>
      <c r="P459" s="275"/>
      <c r="Q459" s="190"/>
      <c r="R459" s="277"/>
      <c r="S459" s="242"/>
      <c r="T459" s="242"/>
      <c r="U459" s="32"/>
    </row>
    <row r="460" spans="1:21" ht="15.75">
      <c r="A460" s="236"/>
      <c r="B460" s="241"/>
      <c r="C460" s="234"/>
      <c r="D460" s="238"/>
      <c r="E460" s="71"/>
      <c r="F460" s="111"/>
      <c r="I460" s="32"/>
      <c r="J460" s="724"/>
      <c r="K460" s="724"/>
      <c r="L460" s="208"/>
      <c r="M460" s="208"/>
      <c r="N460" s="209"/>
      <c r="O460" s="209"/>
      <c r="P460" s="275"/>
      <c r="Q460" s="190"/>
      <c r="R460" s="277"/>
      <c r="S460" s="242"/>
      <c r="T460" s="242"/>
      <c r="U460" s="32"/>
    </row>
    <row r="461" spans="1:21" ht="15.75">
      <c r="A461" s="190"/>
      <c r="B461" s="237"/>
      <c r="C461" s="234"/>
      <c r="D461" s="238"/>
      <c r="E461" s="71"/>
      <c r="F461" s="111"/>
      <c r="I461" s="32"/>
      <c r="J461" s="724"/>
      <c r="K461" s="724"/>
      <c r="L461" s="208"/>
      <c r="M461" s="208"/>
      <c r="N461" s="209"/>
      <c r="O461" s="209"/>
      <c r="P461" s="277"/>
      <c r="Q461" s="277"/>
      <c r="R461" s="277"/>
      <c r="S461" s="242"/>
      <c r="T461" s="242"/>
      <c r="U461" s="32"/>
    </row>
    <row r="462" spans="1:21" ht="15.75">
      <c r="A462" s="236"/>
      <c r="B462" s="237"/>
      <c r="C462" s="234"/>
      <c r="D462" s="238"/>
      <c r="E462" s="71"/>
      <c r="F462" s="111"/>
      <c r="J462" s="724"/>
      <c r="K462" s="724"/>
      <c r="L462" s="208"/>
      <c r="M462" s="208"/>
      <c r="N462" s="209"/>
      <c r="O462" s="209"/>
      <c r="P462" s="277"/>
      <c r="Q462" s="277"/>
      <c r="R462" s="277"/>
      <c r="S462" s="242"/>
      <c r="T462" s="242"/>
      <c r="U462" s="32"/>
    </row>
    <row r="463" spans="1:21" ht="15.75">
      <c r="A463" s="190"/>
      <c r="B463" s="254"/>
      <c r="C463" s="234"/>
      <c r="D463" s="238"/>
      <c r="E463" s="71"/>
      <c r="F463" s="111"/>
      <c r="J463" s="724"/>
      <c r="K463" s="724"/>
      <c r="L463" s="208"/>
      <c r="M463" s="208"/>
      <c r="N463" s="210"/>
      <c r="O463" s="209"/>
      <c r="P463" s="277"/>
      <c r="Q463" s="277"/>
      <c r="R463" s="277"/>
      <c r="S463" s="242"/>
      <c r="T463" s="242"/>
      <c r="U463" s="32"/>
    </row>
    <row r="464" spans="1:21" ht="15.75">
      <c r="A464" s="236"/>
      <c r="B464" s="254"/>
      <c r="C464" s="234"/>
      <c r="D464" s="238"/>
      <c r="E464" s="71"/>
      <c r="F464" s="111"/>
      <c r="J464" s="724"/>
      <c r="K464" s="724"/>
      <c r="L464" s="208"/>
      <c r="M464" s="208"/>
      <c r="N464" s="209"/>
      <c r="O464" s="209"/>
      <c r="P464" s="245"/>
      <c r="Q464" s="278"/>
      <c r="R464" s="279"/>
      <c r="S464" s="244"/>
      <c r="T464" s="242"/>
      <c r="U464" s="32"/>
    </row>
    <row r="465" spans="1:21" ht="15.75">
      <c r="A465" s="190"/>
      <c r="B465" s="233"/>
      <c r="C465" s="234"/>
      <c r="D465" s="238"/>
      <c r="E465" s="71"/>
      <c r="F465" s="111"/>
      <c r="J465" s="724"/>
      <c r="K465" s="724"/>
      <c r="L465" s="208"/>
      <c r="M465" s="208"/>
      <c r="N465" s="209"/>
      <c r="O465" s="209"/>
      <c r="P465" s="245"/>
      <c r="Q465" s="244"/>
      <c r="R465" s="244"/>
      <c r="S465" s="280"/>
      <c r="T465" s="242"/>
      <c r="U465" s="32"/>
    </row>
    <row r="466" spans="1:21" ht="15.75">
      <c r="A466" s="236"/>
      <c r="B466" s="233"/>
      <c r="C466" s="234"/>
      <c r="D466" s="235"/>
      <c r="E466" s="71"/>
      <c r="F466" s="111"/>
      <c r="J466" s="724"/>
      <c r="K466" s="725"/>
      <c r="L466" s="211"/>
      <c r="M466" s="211"/>
      <c r="N466" s="209"/>
      <c r="O466" s="210"/>
      <c r="P466" s="190"/>
      <c r="Q466" s="244"/>
      <c r="R466" s="242"/>
      <c r="S466" s="242"/>
      <c r="T466" s="242"/>
      <c r="U466" s="32"/>
    </row>
    <row r="467" spans="1:21" ht="15.75">
      <c r="A467" s="190"/>
      <c r="B467" s="252"/>
      <c r="C467" s="234"/>
      <c r="D467" s="238"/>
      <c r="E467" s="71"/>
      <c r="F467" s="111"/>
      <c r="J467" s="724"/>
      <c r="K467" s="725"/>
      <c r="L467" s="211"/>
      <c r="M467" s="211"/>
      <c r="N467" s="209"/>
      <c r="O467" s="210"/>
      <c r="P467" s="190"/>
      <c r="Q467" s="198"/>
      <c r="R467" s="198"/>
      <c r="S467" s="242"/>
      <c r="T467" s="242"/>
      <c r="U467" s="32"/>
    </row>
    <row r="468" spans="1:21" ht="15.75">
      <c r="A468" s="236"/>
      <c r="B468" s="233"/>
      <c r="C468" s="234"/>
      <c r="D468" s="238"/>
      <c r="E468" s="71"/>
      <c r="F468" s="111"/>
      <c r="J468" s="724"/>
      <c r="K468" s="725"/>
      <c r="L468" s="211"/>
      <c r="M468" s="211"/>
      <c r="N468" s="209"/>
      <c r="O468" s="210"/>
      <c r="P468" s="190"/>
      <c r="Q468" s="281"/>
      <c r="R468" s="243"/>
      <c r="S468" s="198"/>
      <c r="T468" s="198"/>
      <c r="U468" s="32"/>
    </row>
    <row r="469" spans="1:21" ht="15.75">
      <c r="A469" s="190"/>
      <c r="B469" s="252"/>
      <c r="C469" s="234"/>
      <c r="D469" s="238"/>
      <c r="E469" s="71"/>
      <c r="F469" s="111"/>
      <c r="J469" s="724"/>
      <c r="K469" s="725"/>
      <c r="L469" s="211"/>
      <c r="M469" s="211"/>
      <c r="N469" s="209"/>
      <c r="O469" s="210"/>
      <c r="P469" s="190"/>
      <c r="Q469" s="253"/>
      <c r="R469" s="253"/>
      <c r="S469" s="243"/>
      <c r="T469" s="243"/>
      <c r="U469" s="32"/>
    </row>
    <row r="470" spans="1:21" ht="15.75">
      <c r="A470" s="236"/>
      <c r="B470" s="237"/>
      <c r="C470" s="234"/>
      <c r="D470" s="238"/>
      <c r="E470" s="71"/>
      <c r="F470" s="111"/>
      <c r="J470" s="724"/>
      <c r="K470" s="725"/>
      <c r="L470" s="211"/>
      <c r="M470" s="211"/>
      <c r="N470" s="209"/>
      <c r="O470" s="210"/>
      <c r="P470" s="190"/>
      <c r="Q470" s="253"/>
      <c r="R470" s="253"/>
      <c r="S470" s="282"/>
      <c r="T470" s="235"/>
      <c r="U470" s="32"/>
    </row>
    <row r="471" spans="1:21" ht="15.75">
      <c r="A471" s="190"/>
      <c r="B471" s="237"/>
      <c r="C471" s="234"/>
      <c r="D471" s="238"/>
      <c r="E471" s="71"/>
      <c r="F471" s="111"/>
      <c r="J471" s="724"/>
      <c r="K471" s="725"/>
      <c r="L471" s="211"/>
      <c r="M471" s="211"/>
      <c r="N471" s="209"/>
      <c r="O471" s="210"/>
      <c r="P471" s="206"/>
      <c r="Q471" s="253"/>
      <c r="R471" s="253"/>
      <c r="S471" s="282"/>
      <c r="T471" s="235"/>
    </row>
    <row r="472" spans="1:21" ht="15.75">
      <c r="A472" s="236"/>
      <c r="B472" s="237"/>
      <c r="C472" s="234"/>
      <c r="D472" s="238"/>
      <c r="E472" s="71"/>
      <c r="F472" s="111"/>
      <c r="J472" s="724"/>
      <c r="K472" s="724"/>
      <c r="L472" s="211"/>
      <c r="M472" s="211"/>
      <c r="N472" s="209"/>
      <c r="O472" s="210"/>
      <c r="P472" s="206"/>
      <c r="Q472" s="253"/>
      <c r="R472" s="253"/>
      <c r="S472" s="282"/>
      <c r="T472" s="235"/>
    </row>
    <row r="473" spans="1:21" ht="15.75">
      <c r="A473" s="190"/>
      <c r="B473" s="252"/>
      <c r="C473" s="234"/>
      <c r="D473" s="238"/>
      <c r="E473" s="71"/>
      <c r="F473" s="111"/>
      <c r="J473" s="724"/>
      <c r="K473" s="724"/>
      <c r="L473" s="211"/>
      <c r="M473" s="211"/>
      <c r="N473" s="209"/>
      <c r="O473" s="210"/>
      <c r="P473" s="206"/>
      <c r="Q473" s="253"/>
      <c r="R473" s="253"/>
      <c r="S473" s="282"/>
      <c r="T473" s="235"/>
    </row>
    <row r="474" spans="1:21" ht="15.75">
      <c r="A474" s="236"/>
      <c r="B474" s="255"/>
      <c r="C474" s="190"/>
      <c r="D474" s="253"/>
      <c r="E474" s="71"/>
      <c r="F474" s="111"/>
      <c r="J474" s="724"/>
      <c r="K474" s="724"/>
      <c r="L474" s="211"/>
      <c r="M474" s="211"/>
      <c r="N474" s="209"/>
      <c r="O474" s="210"/>
      <c r="P474" s="278"/>
      <c r="Q474" s="253"/>
      <c r="R474" s="253"/>
      <c r="S474" s="282"/>
      <c r="T474" s="235"/>
    </row>
    <row r="475" spans="1:21" ht="15.75">
      <c r="A475" s="190"/>
      <c r="B475" s="255"/>
      <c r="C475" s="190"/>
      <c r="D475" s="253"/>
      <c r="E475" s="71"/>
      <c r="F475" s="111"/>
      <c r="J475" s="724"/>
      <c r="K475" s="724"/>
      <c r="L475" s="211"/>
      <c r="M475" s="211"/>
      <c r="N475" s="209"/>
      <c r="O475" s="210"/>
      <c r="P475" s="244"/>
      <c r="Q475" s="253"/>
      <c r="R475" s="253"/>
      <c r="S475" s="282"/>
      <c r="T475" s="235"/>
    </row>
    <row r="476" spans="1:21" ht="15.75">
      <c r="A476" s="256"/>
      <c r="B476" s="257"/>
      <c r="C476" s="234"/>
      <c r="D476" s="234"/>
      <c r="E476" s="258"/>
      <c r="F476" s="111"/>
      <c r="J476" s="207"/>
      <c r="K476" s="207"/>
      <c r="L476" s="207"/>
      <c r="M476" s="207"/>
      <c r="N476" s="207"/>
      <c r="O476" s="207"/>
      <c r="P476" s="244"/>
      <c r="Q476" s="253"/>
      <c r="R476" s="253"/>
      <c r="S476" s="282"/>
      <c r="T476" s="235"/>
    </row>
    <row r="477" spans="1:21" ht="15.75">
      <c r="A477" s="729"/>
      <c r="B477" s="729"/>
      <c r="C477" s="729"/>
      <c r="D477" s="729"/>
      <c r="E477" s="729"/>
      <c r="F477" s="90"/>
      <c r="P477" s="198"/>
      <c r="Q477" s="253"/>
      <c r="R477" s="253"/>
      <c r="S477" s="282"/>
      <c r="T477" s="235"/>
    </row>
    <row r="478" spans="1:21" ht="15.75">
      <c r="P478" s="281"/>
      <c r="Q478" s="253"/>
      <c r="R478" s="253"/>
      <c r="S478" s="282"/>
      <c r="T478" s="235"/>
    </row>
    <row r="479" spans="1:21">
      <c r="A479" s="121"/>
      <c r="B479" s="122"/>
      <c r="C479" s="123"/>
      <c r="D479" s="123"/>
      <c r="E479" s="124"/>
      <c r="F479" s="49"/>
      <c r="P479" s="253"/>
      <c r="Q479" s="253"/>
      <c r="R479" s="253"/>
      <c r="S479" s="282"/>
      <c r="T479" s="235"/>
    </row>
    <row r="480" spans="1:21">
      <c r="P480" s="253"/>
      <c r="Q480" s="253"/>
      <c r="R480" s="253"/>
      <c r="S480" s="282"/>
      <c r="T480" s="235"/>
    </row>
    <row r="481" spans="1:20" ht="15.75">
      <c r="A481" s="723"/>
      <c r="B481" s="723"/>
      <c r="C481" s="723"/>
      <c r="D481" s="723"/>
      <c r="E481" s="723"/>
      <c r="F481" s="723"/>
      <c r="P481" s="253"/>
      <c r="Q481" s="253"/>
      <c r="R481" s="253"/>
      <c r="S481" s="282"/>
      <c r="T481" s="235"/>
    </row>
    <row r="482" spans="1:20" ht="15.75">
      <c r="A482" s="259"/>
      <c r="B482" s="259"/>
      <c r="C482" s="259"/>
      <c r="D482" s="259"/>
      <c r="E482" s="260"/>
      <c r="F482" s="260"/>
      <c r="P482" s="253"/>
      <c r="Q482" s="253"/>
      <c r="R482" s="253"/>
      <c r="S482" s="282"/>
      <c r="T482" s="235"/>
    </row>
    <row r="483" spans="1:20">
      <c r="A483" s="261"/>
      <c r="B483" s="262"/>
      <c r="C483" s="262"/>
      <c r="D483" s="262"/>
      <c r="E483" s="263"/>
      <c r="F483" s="263"/>
      <c r="P483" s="253"/>
      <c r="Q483" s="253"/>
      <c r="R483" s="253"/>
      <c r="S483" s="282"/>
      <c r="T483" s="235"/>
    </row>
    <row r="484" spans="1:20">
      <c r="A484" s="264"/>
      <c r="B484" s="265"/>
      <c r="C484" s="266"/>
      <c r="D484" s="267"/>
      <c r="E484" s="71"/>
      <c r="F484" s="268"/>
      <c r="P484" s="253"/>
      <c r="Q484" s="253"/>
      <c r="R484" s="253"/>
      <c r="S484" s="282"/>
      <c r="T484" s="235"/>
    </row>
    <row r="485" spans="1:20">
      <c r="A485" s="264"/>
      <c r="B485" s="265"/>
      <c r="C485" s="266"/>
      <c r="D485" s="267"/>
      <c r="E485" s="71"/>
      <c r="F485" s="268"/>
      <c r="P485" s="253"/>
      <c r="Q485" s="253"/>
      <c r="R485" s="253"/>
      <c r="S485" s="282"/>
      <c r="T485" s="235"/>
    </row>
    <row r="486" spans="1:20">
      <c r="A486" s="264"/>
      <c r="B486" s="269"/>
      <c r="C486" s="266"/>
      <c r="D486" s="267"/>
      <c r="E486" s="71"/>
      <c r="F486" s="268"/>
      <c r="P486" s="253"/>
      <c r="Q486" s="253"/>
      <c r="R486" s="253"/>
      <c r="S486" s="282"/>
      <c r="T486" s="235"/>
    </row>
    <row r="487" spans="1:20" ht="15.75">
      <c r="A487" s="264"/>
      <c r="B487" s="270"/>
      <c r="C487" s="271"/>
      <c r="D487" s="267"/>
      <c r="E487" s="268"/>
      <c r="F487" s="268"/>
      <c r="P487" s="235"/>
      <c r="Q487" s="278"/>
      <c r="R487" s="278"/>
      <c r="S487" s="282"/>
      <c r="T487" s="235"/>
    </row>
    <row r="488" spans="1:20" ht="15.75">
      <c r="A488" s="703"/>
      <c r="B488" s="703"/>
      <c r="C488" s="703"/>
      <c r="D488" s="703"/>
      <c r="E488" s="703"/>
      <c r="F488" s="272"/>
      <c r="P488" s="235"/>
      <c r="S488" s="278"/>
      <c r="T488" s="279"/>
    </row>
    <row r="489" spans="1:20">
      <c r="P489" s="235"/>
    </row>
    <row r="490" spans="1:20">
      <c r="P490" s="235"/>
    </row>
    <row r="491" spans="1:20">
      <c r="P491" s="235"/>
    </row>
    <row r="492" spans="1:20" ht="16.5" customHeight="1">
      <c r="P492" s="235"/>
    </row>
    <row r="493" spans="1:20" ht="44.25" customHeight="1">
      <c r="P493" s="235"/>
    </row>
    <row r="494" spans="1:20">
      <c r="P494" s="235"/>
    </row>
    <row r="495" spans="1:20">
      <c r="P495" s="235"/>
    </row>
    <row r="496" spans="1:20">
      <c r="P496" s="235"/>
    </row>
    <row r="497" spans="1:16" ht="15.75">
      <c r="P497" s="278"/>
    </row>
    <row r="499" spans="1:16">
      <c r="H499" s="32"/>
    </row>
    <row r="500" spans="1:16">
      <c r="G500" s="32"/>
      <c r="H500" s="32"/>
    </row>
    <row r="501" spans="1:16" ht="15.75">
      <c r="A501" s="649"/>
      <c r="B501" s="723"/>
      <c r="C501" s="723"/>
      <c r="D501" s="723"/>
      <c r="E501" s="723"/>
      <c r="F501" s="723"/>
      <c r="G501" s="650"/>
      <c r="H501" s="32"/>
    </row>
    <row r="502" spans="1:16" ht="15.75">
      <c r="A502" s="259"/>
      <c r="B502" s="259"/>
      <c r="C502" s="259"/>
      <c r="D502" s="259"/>
      <c r="E502" s="260"/>
      <c r="F502" s="260"/>
      <c r="G502" s="190"/>
      <c r="H502" s="32"/>
    </row>
    <row r="503" spans="1:16">
      <c r="A503" s="261"/>
      <c r="B503" s="262"/>
      <c r="C503" s="262"/>
      <c r="D503" s="262"/>
      <c r="E503" s="263"/>
      <c r="F503" s="263"/>
      <c r="G503" s="263"/>
      <c r="H503" s="32"/>
    </row>
    <row r="504" spans="1:16">
      <c r="A504" s="174"/>
      <c r="B504" s="93"/>
      <c r="C504" s="651"/>
      <c r="D504" s="647"/>
      <c r="E504" s="196"/>
      <c r="F504" s="646"/>
      <c r="G504" s="196"/>
      <c r="H504" s="32"/>
    </row>
    <row r="505" spans="1:16">
      <c r="A505" s="174"/>
      <c r="B505" s="93"/>
      <c r="C505" s="651"/>
      <c r="D505" s="647"/>
      <c r="E505" s="196"/>
      <c r="F505" s="646"/>
      <c r="G505" s="196"/>
      <c r="H505" s="32"/>
    </row>
    <row r="506" spans="1:16">
      <c r="A506" s="174"/>
      <c r="B506" s="93"/>
      <c r="C506" s="651"/>
      <c r="D506" s="647"/>
      <c r="E506" s="196"/>
      <c r="F506" s="646"/>
      <c r="G506" s="196"/>
      <c r="H506" s="32"/>
    </row>
    <row r="507" spans="1:16">
      <c r="A507" s="174"/>
      <c r="B507" s="93"/>
      <c r="C507" s="651"/>
      <c r="D507" s="647"/>
      <c r="E507" s="196"/>
      <c r="F507" s="646"/>
      <c r="G507" s="196"/>
      <c r="H507" s="32"/>
    </row>
    <row r="508" spans="1:16">
      <c r="A508" s="174"/>
      <c r="B508" s="93"/>
      <c r="C508" s="651"/>
      <c r="D508" s="647"/>
      <c r="E508" s="196"/>
      <c r="F508" s="552"/>
      <c r="G508" s="196"/>
      <c r="H508" s="32"/>
    </row>
    <row r="509" spans="1:16">
      <c r="A509" s="174"/>
      <c r="B509" s="93"/>
      <c r="C509" s="651"/>
      <c r="D509" s="647"/>
      <c r="E509" s="196"/>
      <c r="F509" s="608"/>
      <c r="G509" s="196"/>
      <c r="H509" s="32"/>
    </row>
    <row r="510" spans="1:16" ht="30.75" customHeight="1">
      <c r="A510" s="174"/>
      <c r="B510" s="93"/>
      <c r="C510" s="651"/>
      <c r="D510" s="647"/>
      <c r="E510" s="196"/>
      <c r="F510" s="646"/>
      <c r="G510" s="196"/>
      <c r="H510" s="32"/>
    </row>
    <row r="511" spans="1:16" ht="34.5" customHeight="1">
      <c r="A511" s="703"/>
      <c r="B511" s="703"/>
      <c r="C511" s="703"/>
      <c r="D511" s="703"/>
      <c r="E511" s="703"/>
      <c r="F511" s="703"/>
      <c r="G511" s="272"/>
      <c r="H511" s="32"/>
    </row>
    <row r="512" spans="1:16">
      <c r="A512" s="93"/>
      <c r="B512" s="652"/>
      <c r="C512" s="93"/>
      <c r="D512" s="93"/>
      <c r="E512" s="93"/>
      <c r="F512" s="93"/>
      <c r="G512" s="190"/>
      <c r="H512" s="32"/>
    </row>
    <row r="513" spans="1:8">
      <c r="A513" s="93"/>
      <c r="B513" s="652"/>
      <c r="C513" s="93"/>
      <c r="D513" s="93"/>
      <c r="E513" s="93"/>
      <c r="F513" s="93"/>
      <c r="G513" s="190"/>
      <c r="H513" s="32"/>
    </row>
    <row r="514" spans="1:8" ht="15.75">
      <c r="A514" s="723"/>
      <c r="B514" s="723"/>
      <c r="C514" s="723"/>
      <c r="D514" s="723"/>
      <c r="E514" s="723"/>
      <c r="F514" s="723"/>
      <c r="G514" s="190"/>
      <c r="H514" s="32"/>
    </row>
    <row r="515" spans="1:8" ht="15.75">
      <c r="A515" s="259"/>
      <c r="B515" s="259"/>
      <c r="C515" s="259"/>
      <c r="D515" s="259"/>
      <c r="E515" s="260"/>
      <c r="F515" s="260"/>
      <c r="G515" s="190"/>
      <c r="H515" s="32"/>
    </row>
    <row r="516" spans="1:8">
      <c r="A516" s="261"/>
      <c r="B516" s="262"/>
      <c r="C516" s="262"/>
      <c r="D516" s="262"/>
      <c r="E516" s="263"/>
      <c r="F516" s="263"/>
      <c r="G516" s="190"/>
      <c r="H516" s="32"/>
    </row>
    <row r="517" spans="1:8">
      <c r="A517" s="264"/>
      <c r="B517" s="265"/>
      <c r="C517" s="266"/>
      <c r="D517" s="267"/>
      <c r="E517" s="71"/>
      <c r="F517" s="268"/>
      <c r="G517" s="190"/>
      <c r="H517" s="32"/>
    </row>
    <row r="518" spans="1:8">
      <c r="A518" s="264"/>
      <c r="B518" s="265"/>
      <c r="C518" s="266"/>
      <c r="D518" s="267"/>
      <c r="E518" s="71"/>
      <c r="F518" s="268"/>
      <c r="G518" s="190"/>
      <c r="H518" s="32"/>
    </row>
    <row r="519" spans="1:8">
      <c r="A519" s="264"/>
      <c r="B519" s="269"/>
      <c r="C519" s="266"/>
      <c r="D519" s="267"/>
      <c r="E519" s="71"/>
      <c r="F519" s="268"/>
      <c r="G519" s="190"/>
      <c r="H519" s="32"/>
    </row>
    <row r="520" spans="1:8">
      <c r="A520" s="264"/>
      <c r="B520" s="270"/>
      <c r="C520" s="271"/>
      <c r="D520" s="267"/>
      <c r="E520" s="268"/>
      <c r="F520" s="268"/>
      <c r="G520" s="190"/>
      <c r="H520" s="32"/>
    </row>
    <row r="521" spans="1:8">
      <c r="A521" s="703"/>
      <c r="B521" s="703"/>
      <c r="C521" s="703"/>
      <c r="D521" s="703"/>
      <c r="E521" s="703"/>
      <c r="F521" s="272"/>
      <c r="G521" s="190"/>
      <c r="H521" s="32"/>
    </row>
    <row r="522" spans="1:8">
      <c r="H522" s="32"/>
    </row>
    <row r="526" spans="1:8">
      <c r="A526" s="114"/>
      <c r="B526" s="110"/>
      <c r="C526" s="112"/>
      <c r="D526" s="113"/>
      <c r="E526" s="71"/>
      <c r="F526" s="111"/>
    </row>
    <row r="527" spans="1:8" ht="16.5" customHeight="1">
      <c r="B527" s="55"/>
    </row>
    <row r="528" spans="1:8" ht="16.5" customHeight="1"/>
    <row r="529" spans="7:7">
      <c r="G529" s="109"/>
    </row>
    <row r="533" spans="7:7" ht="30.75" customHeight="1"/>
    <row r="539" spans="7:7" ht="30.75" customHeight="1"/>
    <row r="550" ht="28.5" customHeight="1"/>
    <row r="563" ht="21.75" customHeight="1"/>
    <row r="614" spans="7:7">
      <c r="G614" s="109"/>
    </row>
  </sheetData>
  <mergeCells count="87">
    <mergeCell ref="B336:E336"/>
    <mergeCell ref="S294:U294"/>
    <mergeCell ref="S295:S297"/>
    <mergeCell ref="S298:S301"/>
    <mergeCell ref="A237:E237"/>
    <mergeCell ref="B240:E240"/>
    <mergeCell ref="B260:E260"/>
    <mergeCell ref="U337:AA337"/>
    <mergeCell ref="B501:F501"/>
    <mergeCell ref="B367:E367"/>
    <mergeCell ref="B305:E305"/>
    <mergeCell ref="S317:S319"/>
    <mergeCell ref="S355:AC355"/>
    <mergeCell ref="S356:U356"/>
    <mergeCell ref="S357:T358"/>
    <mergeCell ref="S359:T360"/>
    <mergeCell ref="S361:T362"/>
    <mergeCell ref="B383:E383"/>
    <mergeCell ref="A403:F403"/>
    <mergeCell ref="A419:E419"/>
    <mergeCell ref="T371:T372"/>
    <mergeCell ref="S320:S323"/>
    <mergeCell ref="S316:U316"/>
    <mergeCell ref="T373:T374"/>
    <mergeCell ref="AE360:AE361"/>
    <mergeCell ref="A477:E477"/>
    <mergeCell ref="A481:F481"/>
    <mergeCell ref="A488:E488"/>
    <mergeCell ref="A401:E401"/>
    <mergeCell ref="U388:V388"/>
    <mergeCell ref="B452:E452"/>
    <mergeCell ref="S375:AB375"/>
    <mergeCell ref="S363:T364"/>
    <mergeCell ref="S365:S370"/>
    <mergeCell ref="T365:T367"/>
    <mergeCell ref="U378:V378"/>
    <mergeCell ref="T368:T370"/>
    <mergeCell ref="S371:S374"/>
    <mergeCell ref="B113:E113"/>
    <mergeCell ref="J472:J475"/>
    <mergeCell ref="A446:E446"/>
    <mergeCell ref="B192:E192"/>
    <mergeCell ref="A257:E257"/>
    <mergeCell ref="B148:E148"/>
    <mergeCell ref="A127:E127"/>
    <mergeCell ref="B321:E321"/>
    <mergeCell ref="B290:E290"/>
    <mergeCell ref="B351:E351"/>
    <mergeCell ref="B275:E275"/>
    <mergeCell ref="A160:E160"/>
    <mergeCell ref="A174:E174"/>
    <mergeCell ref="A188:E188"/>
    <mergeCell ref="B177:E177"/>
    <mergeCell ref="B164:E164"/>
    <mergeCell ref="A521:E521"/>
    <mergeCell ref="A514:F514"/>
    <mergeCell ref="K472:K473"/>
    <mergeCell ref="K474:K475"/>
    <mergeCell ref="J457:L457"/>
    <mergeCell ref="J458:K459"/>
    <mergeCell ref="J460:K461"/>
    <mergeCell ref="J462:K463"/>
    <mergeCell ref="J464:K465"/>
    <mergeCell ref="J466:J471"/>
    <mergeCell ref="K466:K468"/>
    <mergeCell ref="K469:K471"/>
    <mergeCell ref="B58:F71"/>
    <mergeCell ref="B81:E81"/>
    <mergeCell ref="A88:E88"/>
    <mergeCell ref="A511:F511"/>
    <mergeCell ref="B105:E105"/>
    <mergeCell ref="A110:E110"/>
    <mergeCell ref="B91:E91"/>
    <mergeCell ref="A217:E217"/>
    <mergeCell ref="B220:E220"/>
    <mergeCell ref="A102:E102"/>
    <mergeCell ref="F129:G130"/>
    <mergeCell ref="A137:A138"/>
    <mergeCell ref="B137:E138"/>
    <mergeCell ref="F137:G138"/>
    <mergeCell ref="A129:A130"/>
    <mergeCell ref="B129:E130"/>
    <mergeCell ref="A2:F2"/>
    <mergeCell ref="A4:F4"/>
    <mergeCell ref="A25:E25"/>
    <mergeCell ref="A27:F27"/>
    <mergeCell ref="A49:E49"/>
  </mergeCells>
  <phoneticPr fontId="1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</vt:lpstr>
      <vt:lpstr>APU´S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Milena Marin Jaramillo</dc:creator>
  <cp:lastModifiedBy>Lilian A. Gomez Luna</cp:lastModifiedBy>
  <dcterms:created xsi:type="dcterms:W3CDTF">2020-02-21T18:17:11Z</dcterms:created>
  <dcterms:modified xsi:type="dcterms:W3CDTF">2021-08-24T21:02:33Z</dcterms:modified>
</cp:coreProperties>
</file>